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mbridgebc.sharepoint.com/sites/PEH_LocalPlan/Shared Documents/5_ LP EiP/Local Plan EiP Stage 2/SANG Note/"/>
    </mc:Choice>
  </mc:AlternateContent>
  <xr:revisionPtr revIDLastSave="1177" documentId="13_ncr:1_{9A304B73-9DE0-40EB-AC50-8C470923358F}" xr6:coauthVersionLast="47" xr6:coauthVersionMax="47" xr10:uidLastSave="{CCAFCD8C-8737-4585-9863-3DFC995D7FFC}"/>
  <workbookProtection workbookAlgorithmName="SHA-512" workbookHashValue="4mCkTI8iBeA8a++bSZrk8mc9zObDcO1COM5Iav0VDuFDASk8eIF7ctpwDAdsEkoSkPZ9B6uQbF/Iu3gm+Xsnpg==" workbookSaltValue="6LWDwOCmNA25U1JSfM7rtQ==" workbookSpinCount="100000" lockStructure="1"/>
  <bookViews>
    <workbookView xWindow="-120" yWindow="-120" windowWidth="29040" windowHeight="15840" firstSheet="5" activeTab="9" xr2:uid="{D4F1B197-6578-4565-A315-00D435578175}"/>
  </bookViews>
  <sheets>
    <sheet name="Crib Sheet" sheetId="5" r:id="rId1"/>
    <sheet name="Completed" sheetId="4" r:id="rId2"/>
    <sheet name="Under Construction" sheetId="3" r:id="rId3"/>
    <sheet name="Planning Permission" sheetId="2" r:id="rId4"/>
    <sheet name="Remaining Capacity" sheetId="1" r:id="rId5"/>
    <sheet name="NLP Allocations" sheetId="14" r:id="rId6"/>
    <sheet name="Windfall Rate" sheetId="11" r:id="rId7"/>
    <sheet name="NLP Mitigation by Timeframe" sheetId="12" r:id="rId8"/>
    <sheet name="NLP Land Mitigation Required" sheetId="10" r:id="rId9"/>
    <sheet name="Remaining Capacity - Incl NLP" sheetId="13" r:id="rId10"/>
  </sheets>
  <definedNames>
    <definedName name="_xlnm._FilterDatabase" localSheetId="1" hidden="1">Completed!$A$1:$N$154</definedName>
    <definedName name="_xlnm._FilterDatabase" localSheetId="5" hidden="1">'NLP Allocations'!$A$1:$M$48</definedName>
    <definedName name="_xlnm._FilterDatabase" localSheetId="3" hidden="1">'Planning Permission'!$A$1:$Q$40</definedName>
    <definedName name="_xlnm._FilterDatabase" localSheetId="2" hidden="1">'Under Construction'!$A$1:$N$31</definedName>
    <definedName name="x__Hlk46304702" localSheetId="9">'Remaining Capacity - Incl NLP'!$A$3</definedName>
    <definedName name="x__Hlk52364133" localSheetId="8">'NLP Land Mitigation Required'!$A$3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0" l="1"/>
  <c r="B4" i="10"/>
  <c r="E57" i="14"/>
  <c r="F57" i="14" s="1"/>
  <c r="E56" i="14"/>
  <c r="F56" i="14"/>
  <c r="F54" i="14"/>
  <c r="F53" i="14"/>
  <c r="F52" i="14"/>
  <c r="F51" i="14"/>
  <c r="E48" i="14"/>
  <c r="K47" i="14"/>
  <c r="L47" i="14" s="1"/>
  <c r="L46" i="14"/>
  <c r="K45" i="14"/>
  <c r="L45" i="14" s="1"/>
  <c r="K44" i="14"/>
  <c r="L44" i="14" s="1"/>
  <c r="L43" i="14"/>
  <c r="K42" i="14"/>
  <c r="L42" i="14" s="1"/>
  <c r="K41" i="14"/>
  <c r="L41" i="14" s="1"/>
  <c r="K40" i="14"/>
  <c r="L40" i="14" s="1"/>
  <c r="K39" i="14"/>
  <c r="L39" i="14" s="1"/>
  <c r="K38" i="14"/>
  <c r="L38" i="14" s="1"/>
  <c r="K37" i="14"/>
  <c r="L37" i="14" s="1"/>
  <c r="K36" i="14"/>
  <c r="L36" i="14" s="1"/>
  <c r="K35" i="14"/>
  <c r="L35" i="14" s="1"/>
  <c r="L34" i="14"/>
  <c r="K33" i="14"/>
  <c r="L33" i="14" s="1"/>
  <c r="K32" i="14"/>
  <c r="L32" i="14" s="1"/>
  <c r="K31" i="14"/>
  <c r="L31" i="14" s="1"/>
  <c r="K30" i="14"/>
  <c r="L30" i="14" s="1"/>
  <c r="K29" i="14"/>
  <c r="L29" i="14" s="1"/>
  <c r="K28" i="14"/>
  <c r="L28" i="14" s="1"/>
  <c r="K27" i="14"/>
  <c r="L27" i="14" s="1"/>
  <c r="K26" i="14"/>
  <c r="L26" i="14" s="1"/>
  <c r="K25" i="14"/>
  <c r="L25" i="14" s="1"/>
  <c r="K24" i="14"/>
  <c r="L24" i="14" s="1"/>
  <c r="K23" i="14"/>
  <c r="L23" i="14" s="1"/>
  <c r="K22" i="14"/>
  <c r="L22" i="14" s="1"/>
  <c r="K21" i="14"/>
  <c r="L21" i="14" s="1"/>
  <c r="L20" i="14"/>
  <c r="K19" i="14"/>
  <c r="L19" i="14" s="1"/>
  <c r="L18" i="14"/>
  <c r="K17" i="14"/>
  <c r="L17" i="14" s="1"/>
  <c r="K16" i="14"/>
  <c r="L16" i="14" s="1"/>
  <c r="K15" i="14"/>
  <c r="L15" i="14" s="1"/>
  <c r="L14" i="14"/>
  <c r="K13" i="14"/>
  <c r="L13" i="14" s="1"/>
  <c r="K12" i="14"/>
  <c r="L12" i="14" s="1"/>
  <c r="K11" i="14"/>
  <c r="L11" i="14" s="1"/>
  <c r="K10" i="14"/>
  <c r="L10" i="14" s="1"/>
  <c r="K9" i="14"/>
  <c r="L9" i="14" s="1"/>
  <c r="L8" i="14"/>
  <c r="K7" i="14"/>
  <c r="L7" i="14" s="1"/>
  <c r="L6" i="14"/>
  <c r="K5" i="14"/>
  <c r="L5" i="14" s="1"/>
  <c r="K4" i="14"/>
  <c r="L4" i="14" s="1"/>
  <c r="K3" i="14"/>
  <c r="L3" i="14" s="1"/>
  <c r="K2" i="14"/>
  <c r="B21" i="13"/>
  <c r="B22" i="13"/>
  <c r="B20" i="13"/>
  <c r="C5" i="10"/>
  <c r="C4" i="10"/>
  <c r="H15" i="12"/>
  <c r="E17" i="12"/>
  <c r="E16" i="12"/>
  <c r="E15" i="12"/>
  <c r="G6" i="12"/>
  <c r="E8" i="12"/>
  <c r="E7" i="12"/>
  <c r="E6" i="12"/>
  <c r="B17" i="12"/>
  <c r="B8" i="12"/>
  <c r="F71" i="12"/>
  <c r="G71" i="12" s="1"/>
  <c r="B71" i="12"/>
  <c r="C71" i="12" s="1"/>
  <c r="F70" i="12"/>
  <c r="G70" i="12" s="1"/>
  <c r="C70" i="12"/>
  <c r="B70" i="12"/>
  <c r="B66" i="12"/>
  <c r="C66" i="12" s="1"/>
  <c r="F65" i="12"/>
  <c r="G65" i="12" s="1"/>
  <c r="C65" i="12"/>
  <c r="B65" i="12"/>
  <c r="B63" i="12"/>
  <c r="C63" i="12" s="1"/>
  <c r="C58" i="12" s="1"/>
  <c r="F60" i="12"/>
  <c r="B60" i="12"/>
  <c r="F59" i="12"/>
  <c r="F72" i="12" s="1"/>
  <c r="G72" i="12" s="1"/>
  <c r="B59" i="12"/>
  <c r="B72" i="12" s="1"/>
  <c r="C72" i="12" s="1"/>
  <c r="F58" i="12"/>
  <c r="F64" i="12" s="1"/>
  <c r="G64" i="12" s="1"/>
  <c r="B58" i="12"/>
  <c r="B64" i="12" s="1"/>
  <c r="C64" i="12" s="1"/>
  <c r="F48" i="12"/>
  <c r="G48" i="12" s="1"/>
  <c r="B48" i="12"/>
  <c r="C48" i="12" s="1"/>
  <c r="F47" i="12"/>
  <c r="G47" i="12" s="1"/>
  <c r="C47" i="12"/>
  <c r="B47" i="12"/>
  <c r="F42" i="12"/>
  <c r="F54" i="12" s="1"/>
  <c r="G54" i="12" s="1"/>
  <c r="B42" i="12"/>
  <c r="B54" i="12" s="1"/>
  <c r="C54" i="12" s="1"/>
  <c r="F41" i="12"/>
  <c r="F49" i="12" s="1"/>
  <c r="G49" i="12" s="1"/>
  <c r="B41" i="12"/>
  <c r="B49" i="12" s="1"/>
  <c r="C49" i="12" s="1"/>
  <c r="F37" i="12"/>
  <c r="G37" i="12" s="1"/>
  <c r="C37" i="12"/>
  <c r="B37" i="12"/>
  <c r="F25" i="12"/>
  <c r="F36" i="12" s="1"/>
  <c r="G36" i="12" s="1"/>
  <c r="B25" i="12"/>
  <c r="B38" i="12" s="1"/>
  <c r="C38" i="12" s="1"/>
  <c r="F24" i="12"/>
  <c r="F31" i="12" s="1"/>
  <c r="G31" i="12" s="1"/>
  <c r="B24" i="12"/>
  <c r="B30" i="12" s="1"/>
  <c r="C30" i="12" s="1"/>
  <c r="K48" i="14" l="1"/>
  <c r="L48" i="14" s="1"/>
  <c r="L2" i="14"/>
  <c r="B29" i="12"/>
  <c r="C29" i="12" s="1"/>
  <c r="B32" i="12"/>
  <c r="C32" i="12" s="1"/>
  <c r="B52" i="12"/>
  <c r="C52" i="12" s="1"/>
  <c r="B55" i="12"/>
  <c r="C55" i="12" s="1"/>
  <c r="B43" i="12"/>
  <c r="B53" i="12"/>
  <c r="C53" i="12" s="1"/>
  <c r="F52" i="12"/>
  <c r="G52" i="12" s="1"/>
  <c r="F29" i="12"/>
  <c r="G29" i="12" s="1"/>
  <c r="G24" i="12" s="1"/>
  <c r="F32" i="12"/>
  <c r="G32" i="12" s="1"/>
  <c r="B35" i="12"/>
  <c r="C35" i="12" s="1"/>
  <c r="C25" i="12" s="1"/>
  <c r="F43" i="12"/>
  <c r="F63" i="12"/>
  <c r="G63" i="12" s="1"/>
  <c r="B26" i="12"/>
  <c r="B31" i="12"/>
  <c r="C31" i="12" s="1"/>
  <c r="B36" i="12"/>
  <c r="C36" i="12" s="1"/>
  <c r="B46" i="12"/>
  <c r="C46" i="12" s="1"/>
  <c r="C41" i="12" s="1"/>
  <c r="B69" i="12"/>
  <c r="C69" i="12" s="1"/>
  <c r="C59" i="12" s="1"/>
  <c r="C60" i="12" s="1"/>
  <c r="F35" i="12"/>
  <c r="G35" i="12" s="1"/>
  <c r="F66" i="12"/>
  <c r="G66" i="12" s="1"/>
  <c r="F55" i="12"/>
  <c r="G55" i="12" s="1"/>
  <c r="F30" i="12"/>
  <c r="G30" i="12" s="1"/>
  <c r="F38" i="12"/>
  <c r="G38" i="12" s="1"/>
  <c r="F53" i="12"/>
  <c r="G53" i="12" s="1"/>
  <c r="F26" i="12"/>
  <c r="F46" i="12"/>
  <c r="G46" i="12" s="1"/>
  <c r="G41" i="12" s="1"/>
  <c r="F69" i="12"/>
  <c r="G69" i="12" s="1"/>
  <c r="G59" i="12" s="1"/>
  <c r="G42" i="12" l="1"/>
  <c r="G25" i="12"/>
  <c r="C42" i="12"/>
  <c r="C43" i="12" s="1"/>
  <c r="C24" i="12"/>
  <c r="C26" i="12" s="1"/>
  <c r="G26" i="12"/>
  <c r="G43" i="12"/>
  <c r="G58" i="12"/>
  <c r="G60" i="12" s="1"/>
  <c r="G4" i="10" l="1"/>
  <c r="G5" i="10"/>
  <c r="E5" i="10"/>
  <c r="E4" i="10"/>
  <c r="D4" i="10"/>
  <c r="F16" i="12"/>
  <c r="F17" i="12"/>
  <c r="F15" i="12"/>
  <c r="F8" i="12"/>
  <c r="F7" i="12"/>
  <c r="F6" i="12"/>
  <c r="G13" i="13"/>
  <c r="G12" i="13"/>
  <c r="F13" i="13"/>
  <c r="F12" i="13"/>
  <c r="G8" i="13"/>
  <c r="F8" i="13" s="1"/>
  <c r="E8" i="13"/>
  <c r="G4" i="13"/>
  <c r="F4" i="13"/>
  <c r="F5" i="13"/>
  <c r="E4" i="13"/>
  <c r="E5" i="13"/>
  <c r="D9" i="1" l="1"/>
  <c r="F42" i="2"/>
  <c r="E42" i="2"/>
  <c r="O40" i="2"/>
  <c r="O39" i="2"/>
  <c r="O38" i="2"/>
  <c r="F33" i="3"/>
  <c r="E33" i="3"/>
  <c r="L31" i="3"/>
  <c r="L30" i="3"/>
  <c r="E156" i="4"/>
  <c r="F156" i="4"/>
  <c r="L154" i="4"/>
  <c r="L153" i="4"/>
  <c r="L152" i="4"/>
  <c r="L151" i="4"/>
  <c r="L150" i="4"/>
  <c r="L149" i="4"/>
  <c r="L148" i="4"/>
  <c r="K32" i="2"/>
  <c r="O32" i="2"/>
  <c r="P32" i="2" s="1"/>
  <c r="B6" i="1" l="1"/>
  <c r="B7" i="1" s="1"/>
  <c r="B8" i="1" s="1"/>
  <c r="B9" i="1" s="1"/>
  <c r="C6" i="1"/>
  <c r="C7" i="1" s="1"/>
  <c r="C8" i="1" s="1"/>
  <c r="C9" i="1" s="1"/>
  <c r="G5" i="13" s="1"/>
  <c r="E6" i="13"/>
  <c r="D35" i="3"/>
  <c r="D3" i="1"/>
  <c r="B10" i="11"/>
  <c r="B11" i="11"/>
  <c r="B14" i="11"/>
  <c r="D45" i="2"/>
  <c r="D46" i="2"/>
  <c r="D47" i="2"/>
  <c r="D44" i="2"/>
  <c r="M26" i="3"/>
  <c r="D36" i="3"/>
  <c r="D37" i="3"/>
  <c r="D38" i="3"/>
  <c r="D159" i="4"/>
  <c r="D160" i="4"/>
  <c r="D161" i="4"/>
  <c r="D158" i="4"/>
  <c r="E7" i="10"/>
  <c r="O30" i="2"/>
  <c r="P30" i="2" s="1"/>
  <c r="O31" i="2"/>
  <c r="P31" i="2" s="1"/>
  <c r="O29" i="2"/>
  <c r="P29" i="2" s="1"/>
  <c r="O33" i="2"/>
  <c r="P33" i="2" s="1"/>
  <c r="O34" i="2"/>
  <c r="P34" i="2" s="1"/>
  <c r="O35" i="2"/>
  <c r="P35" i="2" s="1"/>
  <c r="O36" i="2"/>
  <c r="P36" i="2" s="1"/>
  <c r="O37" i="2"/>
  <c r="P37" i="2" s="1"/>
  <c r="O28" i="2"/>
  <c r="P28" i="2" s="1"/>
  <c r="K28" i="2"/>
  <c r="K29" i="2"/>
  <c r="K30" i="2"/>
  <c r="K31" i="2"/>
  <c r="K33" i="2"/>
  <c r="K34" i="2"/>
  <c r="K35" i="2"/>
  <c r="K36" i="2"/>
  <c r="K37" i="2"/>
  <c r="D7" i="10"/>
  <c r="B7" i="10"/>
  <c r="D6" i="12"/>
  <c r="C10" i="12"/>
  <c r="C14" i="11"/>
  <c r="C11" i="11"/>
  <c r="C7" i="12" s="1"/>
  <c r="C10" i="11"/>
  <c r="G15" i="12"/>
  <c r="B13" i="11"/>
  <c r="B20" i="5"/>
  <c r="F19" i="12"/>
  <c r="D15" i="12"/>
  <c r="D17" i="12"/>
  <c r="D16" i="12"/>
  <c r="D19" i="12" s="1"/>
  <c r="G16" i="12"/>
  <c r="H16" i="12" s="1"/>
  <c r="C19" i="12"/>
  <c r="B19" i="12"/>
  <c r="B10" i="12"/>
  <c r="D11" i="11"/>
  <c r="D10" i="11"/>
  <c r="D5" i="10" s="1"/>
  <c r="K25" i="2"/>
  <c r="K27" i="2"/>
  <c r="K24" i="2"/>
  <c r="K21" i="2"/>
  <c r="K19" i="2"/>
  <c r="K12" i="2"/>
  <c r="K5" i="2"/>
  <c r="L12" i="3"/>
  <c r="M12" i="3" s="1"/>
  <c r="L93" i="4"/>
  <c r="M93" i="4" s="1"/>
  <c r="L119" i="4"/>
  <c r="M119" i="4" s="1"/>
  <c r="L121" i="4"/>
  <c r="M121" i="4" s="1"/>
  <c r="L116" i="4"/>
  <c r="M116" i="4" s="1"/>
  <c r="L56" i="4"/>
  <c r="M56" i="4" s="1"/>
  <c r="L3" i="4"/>
  <c r="M3" i="4" s="1"/>
  <c r="L4" i="4"/>
  <c r="M4" i="4" s="1"/>
  <c r="L5" i="4"/>
  <c r="M5" i="4" s="1"/>
  <c r="L6" i="4"/>
  <c r="M6" i="4" s="1"/>
  <c r="L7" i="4"/>
  <c r="M7" i="4" s="1"/>
  <c r="L8" i="4"/>
  <c r="M8" i="4" s="1"/>
  <c r="L9" i="4"/>
  <c r="M9" i="4" s="1"/>
  <c r="L10" i="4"/>
  <c r="M10" i="4" s="1"/>
  <c r="L11" i="4"/>
  <c r="M11" i="4" s="1"/>
  <c r="L12" i="4"/>
  <c r="M12" i="4" s="1"/>
  <c r="L13" i="4"/>
  <c r="M13" i="4" s="1"/>
  <c r="L14" i="4"/>
  <c r="M14" i="4" s="1"/>
  <c r="L15" i="4"/>
  <c r="M15" i="4" s="1"/>
  <c r="L16" i="4"/>
  <c r="M16" i="4" s="1"/>
  <c r="L17" i="4"/>
  <c r="M17" i="4" s="1"/>
  <c r="L18" i="4"/>
  <c r="M18" i="4" s="1"/>
  <c r="L19" i="4"/>
  <c r="M19" i="4" s="1"/>
  <c r="L20" i="4"/>
  <c r="M20" i="4" s="1"/>
  <c r="L21" i="4"/>
  <c r="M21" i="4" s="1"/>
  <c r="L22" i="4"/>
  <c r="M22" i="4" s="1"/>
  <c r="L23" i="4"/>
  <c r="M23" i="4" s="1"/>
  <c r="L24" i="4"/>
  <c r="M24" i="4" s="1"/>
  <c r="L25" i="4"/>
  <c r="M25" i="4" s="1"/>
  <c r="L26" i="4"/>
  <c r="M26" i="4" s="1"/>
  <c r="L27" i="4"/>
  <c r="M27" i="4" s="1"/>
  <c r="L28" i="4"/>
  <c r="M28" i="4" s="1"/>
  <c r="L29" i="4"/>
  <c r="M29" i="4" s="1"/>
  <c r="L30" i="4"/>
  <c r="M30" i="4" s="1"/>
  <c r="L31" i="4"/>
  <c r="M31" i="4" s="1"/>
  <c r="L32" i="4"/>
  <c r="M32" i="4" s="1"/>
  <c r="L33" i="4"/>
  <c r="M33" i="4" s="1"/>
  <c r="L34" i="4"/>
  <c r="M34" i="4" s="1"/>
  <c r="L35" i="4"/>
  <c r="M35" i="4" s="1"/>
  <c r="L36" i="4"/>
  <c r="M36" i="4" s="1"/>
  <c r="L37" i="4"/>
  <c r="M37" i="4" s="1"/>
  <c r="L38" i="4"/>
  <c r="M38" i="4" s="1"/>
  <c r="L39" i="4"/>
  <c r="M39" i="4" s="1"/>
  <c r="L40" i="4"/>
  <c r="M40" i="4" s="1"/>
  <c r="L41" i="4"/>
  <c r="M41" i="4" s="1"/>
  <c r="L42" i="4"/>
  <c r="M42" i="4" s="1"/>
  <c r="L43" i="4"/>
  <c r="M43" i="4" s="1"/>
  <c r="L44" i="4"/>
  <c r="M44" i="4" s="1"/>
  <c r="L45" i="4"/>
  <c r="M45" i="4" s="1"/>
  <c r="L46" i="4"/>
  <c r="M46" i="4" s="1"/>
  <c r="L47" i="4"/>
  <c r="M47" i="4" s="1"/>
  <c r="L48" i="4"/>
  <c r="M48" i="4" s="1"/>
  <c r="L49" i="4"/>
  <c r="M49" i="4" s="1"/>
  <c r="L50" i="4"/>
  <c r="M50" i="4" s="1"/>
  <c r="L51" i="4"/>
  <c r="M51" i="4" s="1"/>
  <c r="L52" i="4"/>
  <c r="M52" i="4" s="1"/>
  <c r="L53" i="4"/>
  <c r="M53" i="4" s="1"/>
  <c r="L54" i="4"/>
  <c r="M54" i="4" s="1"/>
  <c r="L55" i="4"/>
  <c r="M55" i="4" s="1"/>
  <c r="L57" i="4"/>
  <c r="M57" i="4" s="1"/>
  <c r="L58" i="4"/>
  <c r="M58" i="4" s="1"/>
  <c r="L59" i="4"/>
  <c r="M59" i="4" s="1"/>
  <c r="L60" i="4"/>
  <c r="M60" i="4" s="1"/>
  <c r="L61" i="4"/>
  <c r="M61" i="4" s="1"/>
  <c r="L62" i="4"/>
  <c r="M62" i="4" s="1"/>
  <c r="L63" i="4"/>
  <c r="M63" i="4" s="1"/>
  <c r="L64" i="4"/>
  <c r="M64" i="4" s="1"/>
  <c r="L65" i="4"/>
  <c r="M65" i="4" s="1"/>
  <c r="L66" i="4"/>
  <c r="M66" i="4" s="1"/>
  <c r="L67" i="4"/>
  <c r="M67" i="4" s="1"/>
  <c r="L68" i="4"/>
  <c r="M68" i="4" s="1"/>
  <c r="L69" i="4"/>
  <c r="M69" i="4" s="1"/>
  <c r="L70" i="4"/>
  <c r="M70" i="4" s="1"/>
  <c r="L71" i="4"/>
  <c r="M71" i="4" s="1"/>
  <c r="L72" i="4"/>
  <c r="M72" i="4" s="1"/>
  <c r="L73" i="4"/>
  <c r="M73" i="4" s="1"/>
  <c r="L74" i="4"/>
  <c r="M74" i="4" s="1"/>
  <c r="L75" i="4"/>
  <c r="M75" i="4" s="1"/>
  <c r="L76" i="4"/>
  <c r="M76" i="4" s="1"/>
  <c r="L77" i="4"/>
  <c r="M77" i="4" s="1"/>
  <c r="L78" i="4"/>
  <c r="M78" i="4" s="1"/>
  <c r="L79" i="4"/>
  <c r="M79" i="4" s="1"/>
  <c r="L80" i="4"/>
  <c r="M80" i="4" s="1"/>
  <c r="L81" i="4"/>
  <c r="M81" i="4" s="1"/>
  <c r="L82" i="4"/>
  <c r="M82" i="4" s="1"/>
  <c r="L83" i="4"/>
  <c r="M83" i="4" s="1"/>
  <c r="L84" i="4"/>
  <c r="M84" i="4" s="1"/>
  <c r="L85" i="4"/>
  <c r="M85" i="4" s="1"/>
  <c r="L86" i="4"/>
  <c r="M86" i="4" s="1"/>
  <c r="L87" i="4"/>
  <c r="M87" i="4" s="1"/>
  <c r="L88" i="4"/>
  <c r="M88" i="4" s="1"/>
  <c r="L89" i="4"/>
  <c r="M89" i="4" s="1"/>
  <c r="L90" i="4"/>
  <c r="M90" i="4" s="1"/>
  <c r="L91" i="4"/>
  <c r="M91" i="4" s="1"/>
  <c r="L92" i="4"/>
  <c r="M92" i="4" s="1"/>
  <c r="L94" i="4"/>
  <c r="M94" i="4" s="1"/>
  <c r="L95" i="4"/>
  <c r="M95" i="4" s="1"/>
  <c r="L96" i="4"/>
  <c r="M96" i="4" s="1"/>
  <c r="L97" i="4"/>
  <c r="M97" i="4" s="1"/>
  <c r="L98" i="4"/>
  <c r="M98" i="4" s="1"/>
  <c r="L99" i="4"/>
  <c r="M99" i="4" s="1"/>
  <c r="L100" i="4"/>
  <c r="M100" i="4" s="1"/>
  <c r="L101" i="4"/>
  <c r="M101" i="4" s="1"/>
  <c r="L102" i="4"/>
  <c r="M102" i="4" s="1"/>
  <c r="L103" i="4"/>
  <c r="M103" i="4" s="1"/>
  <c r="L104" i="4"/>
  <c r="M104" i="4" s="1"/>
  <c r="L105" i="4"/>
  <c r="M105" i="4" s="1"/>
  <c r="L106" i="4"/>
  <c r="M106" i="4" s="1"/>
  <c r="L107" i="4"/>
  <c r="M107" i="4" s="1"/>
  <c r="L108" i="4"/>
  <c r="M108" i="4" s="1"/>
  <c r="L109" i="4"/>
  <c r="M109" i="4" s="1"/>
  <c r="L110" i="4"/>
  <c r="M110" i="4" s="1"/>
  <c r="L111" i="4"/>
  <c r="M111" i="4" s="1"/>
  <c r="L112" i="4"/>
  <c r="M112" i="4" s="1"/>
  <c r="L113" i="4"/>
  <c r="M113" i="4" s="1"/>
  <c r="L114" i="4"/>
  <c r="M114" i="4" s="1"/>
  <c r="L115" i="4"/>
  <c r="M115" i="4" s="1"/>
  <c r="L117" i="4"/>
  <c r="M117" i="4" s="1"/>
  <c r="L118" i="4"/>
  <c r="M118" i="4" s="1"/>
  <c r="L120" i="4"/>
  <c r="M120" i="4" s="1"/>
  <c r="L122" i="4"/>
  <c r="M122" i="4" s="1"/>
  <c r="L123" i="4"/>
  <c r="M123" i="4" s="1"/>
  <c r="L124" i="4"/>
  <c r="M124" i="4" s="1"/>
  <c r="L125" i="4"/>
  <c r="M125" i="4" s="1"/>
  <c r="L126" i="4"/>
  <c r="M126" i="4" s="1"/>
  <c r="L127" i="4"/>
  <c r="M127" i="4" s="1"/>
  <c r="L128" i="4"/>
  <c r="M128" i="4" s="1"/>
  <c r="L129" i="4"/>
  <c r="M129" i="4" s="1"/>
  <c r="L130" i="4"/>
  <c r="M130" i="4" s="1"/>
  <c r="L131" i="4"/>
  <c r="M131" i="4" s="1"/>
  <c r="L132" i="4"/>
  <c r="M132" i="4" s="1"/>
  <c r="L133" i="4"/>
  <c r="M133" i="4" s="1"/>
  <c r="L134" i="4"/>
  <c r="M134" i="4" s="1"/>
  <c r="L135" i="4"/>
  <c r="M135" i="4" s="1"/>
  <c r="L136" i="4"/>
  <c r="M136" i="4" s="1"/>
  <c r="L137" i="4"/>
  <c r="M137" i="4" s="1"/>
  <c r="L138" i="4"/>
  <c r="M138" i="4" s="1"/>
  <c r="L139" i="4"/>
  <c r="M139" i="4" s="1"/>
  <c r="L140" i="4"/>
  <c r="M140" i="4" s="1"/>
  <c r="L141" i="4"/>
  <c r="M141" i="4" s="1"/>
  <c r="L142" i="4"/>
  <c r="M142" i="4" s="1"/>
  <c r="L143" i="4"/>
  <c r="M143" i="4" s="1"/>
  <c r="L144" i="4"/>
  <c r="M144" i="4" s="1"/>
  <c r="L145" i="4"/>
  <c r="M145" i="4" s="1"/>
  <c r="L146" i="4"/>
  <c r="M146" i="4" s="1"/>
  <c r="L147" i="4"/>
  <c r="M147" i="4" s="1"/>
  <c r="L2" i="4"/>
  <c r="L27" i="3"/>
  <c r="M27" i="3" s="1"/>
  <c r="L23" i="3"/>
  <c r="M23" i="3" s="1"/>
  <c r="L3" i="3"/>
  <c r="M3" i="3" s="1"/>
  <c r="L4" i="3"/>
  <c r="M4" i="3" s="1"/>
  <c r="L5" i="3"/>
  <c r="M5" i="3" s="1"/>
  <c r="L6" i="3"/>
  <c r="M6" i="3" s="1"/>
  <c r="L7" i="3"/>
  <c r="M7" i="3" s="1"/>
  <c r="L8" i="3"/>
  <c r="M8" i="3" s="1"/>
  <c r="L9" i="3"/>
  <c r="M9" i="3" s="1"/>
  <c r="L10" i="3"/>
  <c r="M10" i="3" s="1"/>
  <c r="L11" i="3"/>
  <c r="M11" i="3" s="1"/>
  <c r="L13" i="3"/>
  <c r="M13" i="3" s="1"/>
  <c r="L14" i="3"/>
  <c r="M14" i="3" s="1"/>
  <c r="L15" i="3"/>
  <c r="M15" i="3" s="1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 s="1"/>
  <c r="L24" i="3"/>
  <c r="M24" i="3" s="1"/>
  <c r="L25" i="3"/>
  <c r="M25" i="3" s="1"/>
  <c r="L28" i="3"/>
  <c r="M28" i="3" s="1"/>
  <c r="L29" i="3"/>
  <c r="M29" i="3" s="1"/>
  <c r="L2" i="3"/>
  <c r="O3" i="2"/>
  <c r="P3" i="2" s="1"/>
  <c r="O4" i="2"/>
  <c r="P4" i="2" s="1"/>
  <c r="O5" i="2"/>
  <c r="P5" i="2" s="1"/>
  <c r="O6" i="2"/>
  <c r="P6" i="2" s="1"/>
  <c r="O7" i="2"/>
  <c r="P7" i="2" s="1"/>
  <c r="O8" i="2"/>
  <c r="P8" i="2" s="1"/>
  <c r="O9" i="2"/>
  <c r="P9" i="2" s="1"/>
  <c r="O10" i="2"/>
  <c r="P10" i="2" s="1"/>
  <c r="O11" i="2"/>
  <c r="P11" i="2" s="1"/>
  <c r="O12" i="2"/>
  <c r="P12" i="2" s="1"/>
  <c r="O13" i="2"/>
  <c r="P13" i="2" s="1"/>
  <c r="O14" i="2"/>
  <c r="P14" i="2" s="1"/>
  <c r="O15" i="2"/>
  <c r="P15" i="2" s="1"/>
  <c r="O16" i="2"/>
  <c r="P16" i="2" s="1"/>
  <c r="O17" i="2"/>
  <c r="P17" i="2" s="1"/>
  <c r="O18" i="2"/>
  <c r="P18" i="2" s="1"/>
  <c r="O19" i="2"/>
  <c r="P19" i="2" s="1"/>
  <c r="O20" i="2"/>
  <c r="P20" i="2" s="1"/>
  <c r="O21" i="2"/>
  <c r="P21" i="2" s="1"/>
  <c r="O22" i="2"/>
  <c r="P22" i="2" s="1"/>
  <c r="O23" i="2"/>
  <c r="P23" i="2" s="1"/>
  <c r="O24" i="2"/>
  <c r="P24" i="2" s="1"/>
  <c r="O25" i="2"/>
  <c r="P25" i="2" s="1"/>
  <c r="O26" i="2"/>
  <c r="P26" i="2" s="1"/>
  <c r="O27" i="2"/>
  <c r="P27" i="2" s="1"/>
  <c r="O2" i="2"/>
  <c r="O42" i="2" l="1"/>
  <c r="M2" i="3"/>
  <c r="M33" i="3" s="1"/>
  <c r="L33" i="3"/>
  <c r="M2" i="4"/>
  <c r="M156" i="4" s="1"/>
  <c r="L156" i="4"/>
  <c r="P2" i="2"/>
  <c r="P42" i="2" s="1"/>
  <c r="D6" i="1"/>
  <c r="C8" i="12"/>
  <c r="D7" i="12"/>
  <c r="C13" i="11"/>
  <c r="E9" i="13"/>
  <c r="H5" i="13"/>
  <c r="I5" i="13" s="1"/>
  <c r="H6" i="12" l="1"/>
  <c r="C20" i="13" s="1"/>
  <c r="B12" i="1"/>
  <c r="B13" i="1" s="1"/>
  <c r="B14" i="1" s="1"/>
  <c r="G17" i="12"/>
  <c r="H17" i="12" s="1"/>
  <c r="D8" i="12"/>
  <c r="D10" i="12" s="1"/>
  <c r="D8" i="1"/>
  <c r="D7" i="1"/>
  <c r="H12" i="13" l="1"/>
  <c r="B15" i="1"/>
  <c r="B19" i="1" s="1"/>
  <c r="B20" i="1" s="1"/>
  <c r="B21" i="1" s="1"/>
  <c r="B22" i="1" s="1"/>
  <c r="B23" i="1" s="1"/>
  <c r="E19" i="12"/>
  <c r="G7" i="12"/>
  <c r="F10" i="12"/>
  <c r="G6" i="13"/>
  <c r="F6" i="13" l="1"/>
  <c r="H19" i="12"/>
  <c r="G19" i="12"/>
  <c r="E10" i="12"/>
  <c r="G8" i="12"/>
  <c r="H7" i="12"/>
  <c r="C21" i="13" s="1"/>
  <c r="H4" i="13"/>
  <c r="I4" i="13" s="1"/>
  <c r="H6" i="13"/>
  <c r="I6" i="13" s="1"/>
  <c r="G10" i="12" l="1"/>
  <c r="B23" i="13"/>
  <c r="H8" i="12"/>
  <c r="C22" i="13" s="1"/>
  <c r="C7" i="10"/>
  <c r="H10" i="12"/>
  <c r="G7" i="10" l="1"/>
  <c r="C23" i="13"/>
  <c r="F9" i="1" l="1"/>
  <c r="F10" i="1" s="1"/>
  <c r="B26" i="1" l="1"/>
  <c r="C26" i="1" s="1"/>
  <c r="B27" i="1"/>
  <c r="C27" i="1" s="1"/>
  <c r="H8" i="13"/>
  <c r="I8" i="13" s="1"/>
  <c r="G9" i="13"/>
  <c r="H9" i="13" s="1"/>
  <c r="I9" i="13" s="1"/>
  <c r="D20" i="13" s="1"/>
  <c r="D21" i="13" s="1"/>
  <c r="D22" i="13" s="1"/>
  <c r="D23" i="13" s="1"/>
  <c r="B28" i="1" l="1"/>
  <c r="B31" i="1" s="1"/>
  <c r="F9" i="13"/>
  <c r="H13" i="13"/>
  <c r="I13" i="13" s="1"/>
  <c r="C28" i="1" l="1"/>
  <c r="B30" i="1" s="1"/>
  <c r="F14" i="13"/>
  <c r="G14" i="13"/>
  <c r="H14" i="13" s="1"/>
  <c r="I14" i="13" s="1"/>
  <c r="I12" i="13"/>
</calcChain>
</file>

<file path=xl/sharedStrings.xml><?xml version="1.0" encoding="utf-8"?>
<sst xmlns="http://schemas.openxmlformats.org/spreadsheetml/2006/main" count="2514" uniqueCount="744">
  <si>
    <t>Total</t>
  </si>
  <si>
    <t>Completed</t>
  </si>
  <si>
    <t>Under construction</t>
  </si>
  <si>
    <t>Planning Permission</t>
  </si>
  <si>
    <t>&gt;10 units</t>
  </si>
  <si>
    <t>&lt; 10 units</t>
  </si>
  <si>
    <t>App Number</t>
  </si>
  <si>
    <t>Address</t>
  </si>
  <si>
    <t>Type of Development</t>
  </si>
  <si>
    <t>Units (Gross)</t>
  </si>
  <si>
    <t>Units (Net)</t>
  </si>
  <si>
    <t>TBH Zone</t>
  </si>
  <si>
    <t>SANG Allocation</t>
  </si>
  <si>
    <t>Units Requiring Mitigation</t>
  </si>
  <si>
    <t>Notes</t>
  </si>
  <si>
    <t>Monitoring Period</t>
  </si>
  <si>
    <t>Decision Date</t>
  </si>
  <si>
    <t>2022/1239</t>
  </si>
  <si>
    <t>1-15 Hillbrook Gardens Weybridge KT13 0SP</t>
  </si>
  <si>
    <t>2020/1628</t>
  </si>
  <si>
    <t>13 Garages to the rear of 27 and 27a Wyndham Avenue Cobham</t>
  </si>
  <si>
    <t>2021/1923</t>
  </si>
  <si>
    <t>18 Heath Ridge Green Cobham KT11 2QJ</t>
  </si>
  <si>
    <t>2022/0942</t>
  </si>
  <si>
    <t xml:space="preserve">2 Lebanon Drive Cobham Surrey KT11 2PR </t>
  </si>
  <si>
    <t>2020/1708</t>
  </si>
  <si>
    <t>20 The Drive Cobham KT11 2JQ</t>
  </si>
  <si>
    <t>2022/1231</t>
  </si>
  <si>
    <t>23-27 High Street Cobham Surrey KT11 3DH</t>
  </si>
  <si>
    <t>2021/2803</t>
  </si>
  <si>
    <t>241 Brooklands Road Weybridge KT13 0RH</t>
  </si>
  <si>
    <t>2021/2805</t>
  </si>
  <si>
    <t>243 Brooklands Road Weybridge KT13 0RH</t>
  </si>
  <si>
    <t>2019/2469</t>
  </si>
  <si>
    <t>32 Green Lane Cobham KT11 2NN</t>
  </si>
  <si>
    <t>2021/2698</t>
  </si>
  <si>
    <t>6 The Heights Weybridge Surrey KT13 0XP</t>
  </si>
  <si>
    <t>2021/1552</t>
  </si>
  <si>
    <t>85 Queens Road Weybridge KT13 9UQ</t>
  </si>
  <si>
    <t>2020/2483</t>
  </si>
  <si>
    <t>Abbey House Wellington Way Weybridge KT13 0TT</t>
  </si>
  <si>
    <t>2020/2626</t>
  </si>
  <si>
    <t>Administration Block Octagon Road Whiteley Village Hersham Walton-On-Thames Surrey KT12 4EG</t>
  </si>
  <si>
    <t>2022/1797</t>
  </si>
  <si>
    <t>Barn and Land at Silvermere Farm Byfleet Road Cobham Surrey KT11 1DX</t>
  </si>
  <si>
    <t>2022/3246</t>
  </si>
  <si>
    <t>Beech Shadows 15 Woodside Road Cobham Surrey KT11 2QR</t>
  </si>
  <si>
    <t>2023/0149</t>
  </si>
  <si>
    <t>Blue Barn Farm Blue Barn Lane Weybridge Surrey KT13 0NH</t>
  </si>
  <si>
    <t>2021/1950</t>
  </si>
  <si>
    <t>Building C 207 Brooklands Road Elder House Weybridge KT13 0RH</t>
  </si>
  <si>
    <t>2021/0114</t>
  </si>
  <si>
    <t>Fairmile Farm Cottage Denby Road Cobham KT11 1JY</t>
  </si>
  <si>
    <t>2020/1629</t>
  </si>
  <si>
    <t>Garage Block South of 2 and 4 Wyndham Avenue Cobham KT11 1AT</t>
  </si>
  <si>
    <t>2020/1613</t>
  </si>
  <si>
    <t>Garages to the rear of 132-152 Tartar Road Cobham Surrey</t>
  </si>
  <si>
    <t>2021/0183</t>
  </si>
  <si>
    <t>Land at Downside Road Cobham KT11  3LY</t>
  </si>
  <si>
    <t>2022/1212</t>
  </si>
  <si>
    <t>Land Southeast of 39 Stoke Road Stoke D'Abernon Cobham Surrey KT11 3BH</t>
  </si>
  <si>
    <t>2021/4359</t>
  </si>
  <si>
    <t>Land to rear of 38 and 41 Twinoaks Cobham Surrey KT11 2QP</t>
  </si>
  <si>
    <t>2019/0329</t>
  </si>
  <si>
    <t>Site of Crow Gables 131 Fairmile Lane Cobham KT11 2BU</t>
  </si>
  <si>
    <t>2021/3769</t>
  </si>
  <si>
    <t>Southlands 40 Queens Road Weybridge Surrey KT13 0AR</t>
  </si>
  <si>
    <t>2021/2043</t>
  </si>
  <si>
    <t>Unit C St Georges Business Park Brooklands Road Weybridge KT13 0TS</t>
  </si>
  <si>
    <t>2020/2096</t>
  </si>
  <si>
    <t>White Lodge Hogshill Lane Cobham KT11 2AL</t>
  </si>
  <si>
    <t>PAF</t>
  </si>
  <si>
    <t>C3</t>
  </si>
  <si>
    <t>FUL</t>
  </si>
  <si>
    <t>Full</t>
  </si>
  <si>
    <t>PNO</t>
  </si>
  <si>
    <t>PAM</t>
  </si>
  <si>
    <t>LDCP</t>
  </si>
  <si>
    <t>C2</t>
  </si>
  <si>
    <t>Outline</t>
  </si>
  <si>
    <t>Use Class</t>
  </si>
  <si>
    <t>Expiry Date</t>
  </si>
  <si>
    <t>Brooklands</t>
  </si>
  <si>
    <t>Brooklands and Esher</t>
  </si>
  <si>
    <t>Esher</t>
  </si>
  <si>
    <t>TBH Zone 400m - 5km</t>
  </si>
  <si>
    <t>Plans demonstrates units are self contained with kitchens, bathrooms and lounges. No discount applied.</t>
  </si>
  <si>
    <t>&lt;10</t>
  </si>
  <si>
    <t>&gt;10</t>
  </si>
  <si>
    <t>&gt;10 or &lt;10 Units</t>
  </si>
  <si>
    <t>SANG Catchment</t>
  </si>
  <si>
    <t>&lt;10 units</t>
  </si>
  <si>
    <t>Brooklands or Esher</t>
  </si>
  <si>
    <t>SANG Crib Sheet</t>
  </si>
  <si>
    <t xml:space="preserve">Must be assigned to a specific SANG </t>
  </si>
  <si>
    <t xml:space="preserve">&lt;10 units </t>
  </si>
  <si>
    <t>Can be assigned to either SANG</t>
  </si>
  <si>
    <t>400m - 5km TBH Zone</t>
  </si>
  <si>
    <t>100% of units requiring mitigation</t>
  </si>
  <si>
    <t>100% of units require mitigation</t>
  </si>
  <si>
    <t>&gt;10 units and assigned</t>
  </si>
  <si>
    <t>Total &gt;10 units and assigned to Esher</t>
  </si>
  <si>
    <t>Total &gt;10 units and assignable to Brooksland or Esher</t>
  </si>
  <si>
    <t>2019/0792</t>
  </si>
  <si>
    <t>1 Green Lane Cobham KT11 2NN</t>
  </si>
  <si>
    <t>2019/2553</t>
  </si>
  <si>
    <t>4 Fairmile Lane Cobham KT11 2DJ</t>
  </si>
  <si>
    <t>2017/3444</t>
  </si>
  <si>
    <t>77 Queens Road Weybridge Surrey KT13 9UQ</t>
  </si>
  <si>
    <t>2019/2309</t>
  </si>
  <si>
    <t>9 Leigh Court Close Cobham KT11 2HT</t>
  </si>
  <si>
    <t>2021/3413</t>
  </si>
  <si>
    <t>9 Water Lane Cobham KT11 2PA</t>
  </si>
  <si>
    <t>2022/3441</t>
  </si>
  <si>
    <t>Beacon House Beacon Mews South Road Weybridge Surrey KT13 9DZ</t>
  </si>
  <si>
    <t>2021/3269</t>
  </si>
  <si>
    <t>Cold Norton Farm Ockham Lane Cobham Surrey KT11 1LW</t>
  </si>
  <si>
    <t>2019/2308</t>
  </si>
  <si>
    <t>Crow Gables Cottage 133 Fairmile Lane Cobham KT11 2BU</t>
  </si>
  <si>
    <t>2021/1399</t>
  </si>
  <si>
    <t>Heath Lodge St George's Avenue Weybridge Surrey KT13 0DA</t>
  </si>
  <si>
    <t>2019/3370</t>
  </si>
  <si>
    <t>Hillview Nusery Seven Hills Road Walton-On-Thames KT12 4DD</t>
  </si>
  <si>
    <t>2019/0271</t>
  </si>
  <si>
    <t>Horsley Bungalow Old Avenue Weybridge Surrey KT13 0PS</t>
  </si>
  <si>
    <t>2020/2883</t>
  </si>
  <si>
    <t>Hunters Lodge Horsley Road Downside Cobham KT11 3NY</t>
  </si>
  <si>
    <t>2014/4564</t>
  </si>
  <si>
    <t>Land adjacent to 21 Icklingham Road Cobham Surrey KT11 2NQ</t>
  </si>
  <si>
    <t>2016/1999</t>
  </si>
  <si>
    <t>Land north of Oakmead Lodge Seven Hills Road Cobham Surrey KT11 1EU</t>
  </si>
  <si>
    <t>2019/1032</t>
  </si>
  <si>
    <t>Land Northeast of 49 to 51 High Street Cobham</t>
  </si>
  <si>
    <t>2019/2211</t>
  </si>
  <si>
    <t>Land Northwest of 215 to 217 Portsmouth Road Cobham KT11 1JR</t>
  </si>
  <si>
    <t>2021/0834</t>
  </si>
  <si>
    <t>Land Rear of 2 Littleheath farm Cottage Steels Lane Oxshott Leatherhead KT22 0RX</t>
  </si>
  <si>
    <t>2017/2405</t>
  </si>
  <si>
    <t>Land South of 54 Foxholes Weybridge Surrey KT13 0BN</t>
  </si>
  <si>
    <t>2018/2132</t>
  </si>
  <si>
    <t>Land to the South of Old Oak March Road Weybridge KT13 8XA</t>
  </si>
  <si>
    <t>2018/0632</t>
  </si>
  <si>
    <t>Lincoln Court Old Avenue Weybridge Surrey KT13 0PH</t>
  </si>
  <si>
    <t>2020/0308</t>
  </si>
  <si>
    <t>Merrileas leatherhead Road Oxshott Leatherhead KT22 0EZ</t>
  </si>
  <si>
    <t>2017/4155</t>
  </si>
  <si>
    <t>Site of 38 Knowle Park Cobham Surrey KT11 3AA</t>
  </si>
  <si>
    <t>2017/3069</t>
  </si>
  <si>
    <t>Site of Tara Cavendish Road Weybridge Surrey KT13 0JT</t>
  </si>
  <si>
    <t>2017/2534</t>
  </si>
  <si>
    <t>St Georges House 24 Queens Road Weybridge Surrey KT13 9UX</t>
  </si>
  <si>
    <t>2020/1020</t>
  </si>
  <si>
    <t>Upper Court Portsmouth Road Esher KT10 9JH</t>
  </si>
  <si>
    <t>2015/2398</t>
  </si>
  <si>
    <t>Upper Farm Blue Bell Lane Stoke D'Abernon Cobham Surrey KT11 3PW</t>
  </si>
  <si>
    <t>2019/1287</t>
  </si>
  <si>
    <t>Willow House Copse Road Cobham KT11 2TN</t>
  </si>
  <si>
    <t>PNM</t>
  </si>
  <si>
    <t>OLA</t>
  </si>
  <si>
    <t>OL</t>
  </si>
  <si>
    <t>PNQ</t>
  </si>
  <si>
    <t>CoU/Ext</t>
  </si>
  <si>
    <t>Conv.</t>
  </si>
  <si>
    <t>CoU</t>
  </si>
  <si>
    <t>TBH Zone 5km - 7km</t>
  </si>
  <si>
    <t>Only include 25% of the net as over 50 units and zone 5km - 7km</t>
  </si>
  <si>
    <t>Self contained, no discount.</t>
  </si>
  <si>
    <t>Not self contained, dementia care of varying needs - cannot discount entirely but 25% discount.</t>
  </si>
  <si>
    <t xml:space="preserve">If more than 50 units mitigation required but at discounted rate - 25% of units. </t>
  </si>
  <si>
    <t>5km - 7km zone TBH Zone</t>
  </si>
  <si>
    <t xml:space="preserve">100% of units require mitigation if occupants are mobile but at discounted rate - 25% if occupants are not mobile. </t>
  </si>
  <si>
    <t>2005/0706</t>
  </si>
  <si>
    <t>Phase 2, Site Of Playing Field Eriswell Road Hersham Walton-on-thames</t>
  </si>
  <si>
    <t>2008/0231</t>
  </si>
  <si>
    <t>The Dell Locke King Road Weybridge Surrey</t>
  </si>
  <si>
    <t>2008/0280</t>
  </si>
  <si>
    <t>Former 16 Waverley Road Stoke D'Abernon Cobham Surrey KT11 2SS</t>
  </si>
  <si>
    <t>2008/0533</t>
  </si>
  <si>
    <t>Hillview, Yaffle Road, Weybridge, Surrey, KT13 0QF</t>
  </si>
  <si>
    <t>2008/1986</t>
  </si>
  <si>
    <t>133 Queens Road and Land Rear of 2 &amp; 4 High Pine Close and  1 Oatlands Avenue Weybridge Surrey KT13 9UN</t>
  </si>
  <si>
    <t>2008/2444</t>
  </si>
  <si>
    <t>Frances Cottage Denby Road Cobham KT11 1JT</t>
  </si>
  <si>
    <t>2008/2539</t>
  </si>
  <si>
    <t>Land rear of 10 &amp; 11 Chestnut Lane Weybridge Surrey KT13 9BU</t>
  </si>
  <si>
    <t>2009/0115</t>
  </si>
  <si>
    <t>Site of 101 Hogshill Lane, Cobham Surrey KT11 2AH</t>
  </si>
  <si>
    <t>2009/0260</t>
  </si>
  <si>
    <t>10 &amp; 11 Benfleet Close Cobham Surrey KT11 2NR</t>
  </si>
  <si>
    <t>2009/0345</t>
  </si>
  <si>
    <t>Centurion House, West Road, Weybridge, Surrey, KT13 0LZ</t>
  </si>
  <si>
    <t>2009/0681</t>
  </si>
  <si>
    <t>2 Copse Road Cobham Surrey KT11 2TN</t>
  </si>
  <si>
    <t>2009/0815</t>
  </si>
  <si>
    <t>Site of 17 Pony Chase Cobham Surrey KT11 2PF</t>
  </si>
  <si>
    <t>2009/0994</t>
  </si>
  <si>
    <t>Mill View Mill Road Cobham Surrey KT11 3AL</t>
  </si>
  <si>
    <t>2009/1101</t>
  </si>
  <si>
    <t>31 Leigh Hill Road Cobham KT11 2HU</t>
  </si>
  <si>
    <t>2009/1374</t>
  </si>
  <si>
    <t>11 High Street Cobham Surrey KT11 3DH</t>
  </si>
  <si>
    <t>2009/1419</t>
  </si>
  <si>
    <t>32 Water Lane Cobham Surrey KT11 2PB</t>
  </si>
  <si>
    <t>2009/1639</t>
  </si>
  <si>
    <t>10 Fairmile Avenue Cobham Surrey KT11 2JB</t>
  </si>
  <si>
    <t>2009/1771</t>
  </si>
  <si>
    <t>11 Eaton Park Road Cobham Surrey KT11 2JJ</t>
  </si>
  <si>
    <t>2009/1865</t>
  </si>
  <si>
    <t>12 Icklingham Road Cobham Surrey KT11 2NG</t>
  </si>
  <si>
    <t>2009/1883</t>
  </si>
  <si>
    <t>14 Manor Walk Weybridge Park Weybridge Surrey KT13 8SD</t>
  </si>
  <si>
    <t>2009/1964</t>
  </si>
  <si>
    <t>Site of 26 Water Lane Cobham Surrey KT11 2PB</t>
  </si>
  <si>
    <t>2009/2079</t>
  </si>
  <si>
    <t>Bell Marsh Golf Club Road Weybridge Surrey KT13 0NN</t>
  </si>
  <si>
    <t>2010/0551</t>
  </si>
  <si>
    <t>12 Eaton Park Cobham Surrey KT11 2JE</t>
  </si>
  <si>
    <t>2010/0591</t>
  </si>
  <si>
    <t>33 Freelands Road Cobham Surrey KT11 2NA</t>
  </si>
  <si>
    <t>2010/0697</t>
  </si>
  <si>
    <t>Spring House Miles Lane Cobham Surrey KT11 2EA</t>
  </si>
  <si>
    <t>2010/0767</t>
  </si>
  <si>
    <t>Land rear of 159 Queens Road Weybridge Surrey KT13 0AD</t>
  </si>
  <si>
    <t>2010/0826</t>
  </si>
  <si>
    <t>43 Leigh Hill Road Cobham Surrey KT11 2HU</t>
  </si>
  <si>
    <t>2010/1620</t>
  </si>
  <si>
    <t>27 Hollyhedge Road Cobham Surrey KT11 3DQ</t>
  </si>
  <si>
    <t>2010/2991</t>
  </si>
  <si>
    <t>75 Fairmile Lane Cobham Surrey KT11 2DG</t>
  </si>
  <si>
    <t>2011/0022</t>
  </si>
  <si>
    <t>White Gables Leigh Place Cobham Surrey KT11 2HL</t>
  </si>
  <si>
    <t>2011/0384</t>
  </si>
  <si>
    <t>Fairmile House Lodge Portsmouth Road Cobham Surrey  KT11 1BQ</t>
  </si>
  <si>
    <t>2011/0665</t>
  </si>
  <si>
    <t>Land adjacent to 5 Denby Road Cobham Surrey KT11 1JX</t>
  </si>
  <si>
    <t>2011/0676</t>
  </si>
  <si>
    <t>222-224 Portsmouth Road Cobham Surrey KT11 1HS</t>
  </si>
  <si>
    <t>2011/5414</t>
  </si>
  <si>
    <t>The Bungalow Elm Grove Road Cobham Surrey KT11 3HB</t>
  </si>
  <si>
    <t>2011/5994</t>
  </si>
  <si>
    <t>Viscount House Princes Road Weybridge Surrey KT13 9BQ</t>
  </si>
  <si>
    <t>2011/6022</t>
  </si>
  <si>
    <t>3 - 13 Brooklands Road Weybridge Surrey KT13 0RU</t>
  </si>
  <si>
    <t>2011/6365</t>
  </si>
  <si>
    <t>Bylands Cavendish Road Weybridge Surrey KT13 0JY</t>
  </si>
  <si>
    <t>2011/6532</t>
  </si>
  <si>
    <t>1 Twinoaks Cobham Surrey KT11 2QW</t>
  </si>
  <si>
    <t>2011/6565</t>
  </si>
  <si>
    <t>9 Fairmeads &amp; Land rear of 19 Fairmile Avenue Cobham Surrey KT11 2JD</t>
  </si>
  <si>
    <t>2011/6816</t>
  </si>
  <si>
    <t>Lynwood Cavendish Road Weybridge Surrey KT13 0JN</t>
  </si>
  <si>
    <t>2011/8284</t>
  </si>
  <si>
    <t>Pinecroft St. Georges Road Weybridge Surrey KT13 0EN</t>
  </si>
  <si>
    <t>2012/0434</t>
  </si>
  <si>
    <t>Weybridge House Queens Road Weybridge Surrey KT13 0AP</t>
  </si>
  <si>
    <t>2012/0534</t>
  </si>
  <si>
    <t>Land to Rear of 11 Fairmile Avenue Cobham Surrey KT11 2JD</t>
  </si>
  <si>
    <t>2012/1313</t>
  </si>
  <si>
    <t>28 Tartar Road Cobham Surrey KT11 2AR</t>
  </si>
  <si>
    <t>2012/1721</t>
  </si>
  <si>
    <t>Cobham Library Cedar Road Cobham Surrey KT11 2AA</t>
  </si>
  <si>
    <t>2012/1984</t>
  </si>
  <si>
    <t>Land To The Rear Of 6 Littleheath Lane Cobham Surrey KT11 2QG</t>
  </si>
  <si>
    <t>2012/2730</t>
  </si>
  <si>
    <t>14 Eaton Park Cobham Surrey KT11 2JE</t>
  </si>
  <si>
    <t>2012/3543</t>
  </si>
  <si>
    <t>21 Anyards Road Cobham Surrey KT11 2LW</t>
  </si>
  <si>
    <t>2012/3633</t>
  </si>
  <si>
    <t>The Haven Ellesmere Road Weybridge Surrey KT13 0HY</t>
  </si>
  <si>
    <t>2012/4559</t>
  </si>
  <si>
    <t>Fosseways Camp End Road Weybridge Surrey KT13 0NW</t>
  </si>
  <si>
    <t>2013/0221</t>
  </si>
  <si>
    <t>Silverlea Pine Grove Weybridge Surrey KT13 9AX</t>
  </si>
  <si>
    <t>2013/0262</t>
  </si>
  <si>
    <t>Garage Block South of 19 Gavell Road Cobham Surrey KT11 1AL</t>
  </si>
  <si>
    <t>2013/0374</t>
  </si>
  <si>
    <t>21 Water Lane Cobham Surrey KT11 2PA</t>
  </si>
  <si>
    <t>2013/1075</t>
  </si>
  <si>
    <t>161 Queens Road Weybridge Surrey KT13 0AD</t>
  </si>
  <si>
    <t>2013/1172</t>
  </si>
  <si>
    <t>PGS House Mayfield Road Hersham Walton on Thames Surrey KT12 5PW</t>
  </si>
  <si>
    <t>2013/1307</t>
  </si>
  <si>
    <t>22 Mayfield Road Weybridge Surrey KT13 8XD</t>
  </si>
  <si>
    <t>2013/1836</t>
  </si>
  <si>
    <t>Land adjacent 104 Wyndham Avenue Cobham Surrey KT11 1AT</t>
  </si>
  <si>
    <t>2013/1839</t>
  </si>
  <si>
    <t>7 Woodside Road Cobham Surrey KT11 2QR</t>
  </si>
  <si>
    <t>2013/1985</t>
  </si>
  <si>
    <t>51 Littleheath Lane Cobham Surrey KT11 2QF</t>
  </si>
  <si>
    <t>2013/2253</t>
  </si>
  <si>
    <t>Trefusis Cavendish Road Weybridge Surrey KT13 0JW</t>
  </si>
  <si>
    <t>2013/2523</t>
  </si>
  <si>
    <t>9 High Street Cobham Surrey KT11 3DJ</t>
  </si>
  <si>
    <t>2013/3032</t>
  </si>
  <si>
    <t>Garage Blocks north of Fire Station Gavell Road and rear of 31-33 Hamilton Avenue Cobham Surrey KT11 1AU</t>
  </si>
  <si>
    <t>2013/3066</t>
  </si>
  <si>
    <t>Land adjacent to 35 Stoke Road Cobham Surrey KT11 3BG</t>
  </si>
  <si>
    <t>Rydens Enterprise School and Sixth Form College Hersham Road Hersham KT12 5PY</t>
  </si>
  <si>
    <t>2014/0673</t>
  </si>
  <si>
    <t>Land to Rear of 33 Leigh Hill Road Cobham Surrey KT11 2HU</t>
  </si>
  <si>
    <t>2014/0883</t>
  </si>
  <si>
    <t>Land adjacent to 32a and 34 Station Road Stoke D'Abernon Cobham KT11 3BN</t>
  </si>
  <si>
    <t>2014/1293</t>
  </si>
  <si>
    <t>1 Fairacres Cobham Surrey KT11 2JW</t>
  </si>
  <si>
    <t>2014/1304</t>
  </si>
  <si>
    <t>Cobbett House Cobbetts Hill Weybridge Surrey KT13 0UB</t>
  </si>
  <si>
    <t>2014/1538</t>
  </si>
  <si>
    <t>9 Heath Ridge Green Cobham Surrey KT11 2QL</t>
  </si>
  <si>
    <t>2014/2830</t>
  </si>
  <si>
    <t>Thurlestone Fairmile Park Road Cobham Surrey KT11 2PL</t>
  </si>
  <si>
    <t>2014/3596</t>
  </si>
  <si>
    <t>46 Littleheath Lane Cobham Surrey KT11 2QN</t>
  </si>
  <si>
    <t>2014/3890</t>
  </si>
  <si>
    <t>24 High Street Cobham Surrey KT11 3EB</t>
  </si>
  <si>
    <t>2014/4090</t>
  </si>
  <si>
    <t>11 Eaton Park Cobham Surrey KT11 2JF</t>
  </si>
  <si>
    <t>2014/4387</t>
  </si>
  <si>
    <t>Chargate Lodge 19 Eriswell Road Hersham Surrey KT12 5DJ</t>
  </si>
  <si>
    <t>2014/4581</t>
  </si>
  <si>
    <t>12 Heath Road Weybridge Surrey KT13 8TQ</t>
  </si>
  <si>
    <t>2014/4741</t>
  </si>
  <si>
    <t>Dene House Hanger Hill Weybridge Surrey KT13 9YW</t>
  </si>
  <si>
    <t>2014/4780</t>
  </si>
  <si>
    <t>10 Octagon Road Whiteley Village Hersham Walton-On-Thames KT12 4DX</t>
  </si>
  <si>
    <t>2014/4798</t>
  </si>
  <si>
    <t>15 Weybridge Park Weybridge Surrey KT13 8SL</t>
  </si>
  <si>
    <t>2015/0040</t>
  </si>
  <si>
    <t>Cedar Cottage Cedar Road Cobham Surrey KT11 2AA</t>
  </si>
  <si>
    <t>2015/0193</t>
  </si>
  <si>
    <t>44 Fairmile Lane Cobham Surrey KT11 2DF</t>
  </si>
  <si>
    <t>2015/0320</t>
  </si>
  <si>
    <t>91 Queens Road Weybridge Surrey KT13 9UQ</t>
  </si>
  <si>
    <t>2015/0403</t>
  </si>
  <si>
    <t>Torbrae St Georges Avenue Weybridge Surrey KT13 0DN</t>
  </si>
  <si>
    <t>2015/0997</t>
  </si>
  <si>
    <t>46 Portsmouth Road Cobham Surrey KT11 1HY</t>
  </si>
  <si>
    <t>2015/1222</t>
  </si>
  <si>
    <t>Knowle Hill Park Fairmile Lane Cobham Surrey KT11 2PD</t>
  </si>
  <si>
    <t>2015/1360</t>
  </si>
  <si>
    <t>Leeward House (formerly Windrush) Cavendish Road Weybridge KT13 0JW</t>
  </si>
  <si>
    <t>2015/1581</t>
  </si>
  <si>
    <t>159 A and B Queens Road Weybridge Surrey KT13 0AD</t>
  </si>
  <si>
    <t>2015/1775</t>
  </si>
  <si>
    <t>6 Warren Way Weybridge Surrey KT13 0DL</t>
  </si>
  <si>
    <t>2015/1867</t>
  </si>
  <si>
    <t>Riverfield 21-37 Portsmouth Road Cobham Surrey KT11 1JQ</t>
  </si>
  <si>
    <t>2015/1928</t>
  </si>
  <si>
    <t>Land southeast of 23 Four Wents Cobham Surrey KT11 2NE</t>
  </si>
  <si>
    <t>2015/1970</t>
  </si>
  <si>
    <t>19 Eaton Park Cobham Surrey KT11 2JF</t>
  </si>
  <si>
    <t>2015/2238</t>
  </si>
  <si>
    <t>23 Water Lane Cobham Surrey KT11 2PA (Plots 1, 2 and 4)</t>
  </si>
  <si>
    <t>2015/2363</t>
  </si>
  <si>
    <t>5 Winston Drive Stoke D'Abernon Cobham Surrey KT11 3BP</t>
  </si>
  <si>
    <t>2015/2627</t>
  </si>
  <si>
    <t>2015/3007</t>
  </si>
  <si>
    <t>Wychbury Old Avenue Weybridge Surrey KT13 0PG</t>
  </si>
  <si>
    <t>2015/3384</t>
  </si>
  <si>
    <t>April Cottage Queens Road Weybridge Surrey KT13 0AU</t>
  </si>
  <si>
    <t>2015/3572</t>
  </si>
  <si>
    <t>1 Fairbourne Cobham Surrey KT11 2BT</t>
  </si>
  <si>
    <t>2015/3604</t>
  </si>
  <si>
    <t>30 Queens Road Weybridge Surrey KT13 9UZ</t>
  </si>
  <si>
    <t>2015/3838</t>
  </si>
  <si>
    <t>6 Tilt Road Cobham Surrey KT11 3EZ</t>
  </si>
  <si>
    <t>2015/4044</t>
  </si>
  <si>
    <t>Windrush Elgin Road Weybridge Surrey KT13 8SW</t>
  </si>
  <si>
    <t>2016/0018</t>
  </si>
  <si>
    <t>25 Water Lane Cobham Surrey KT11 2PA</t>
  </si>
  <si>
    <t>2016/0464</t>
  </si>
  <si>
    <t>127 Queens Road Weybridge KT13 9UN</t>
  </si>
  <si>
    <t>2016/0472</t>
  </si>
  <si>
    <t>Marian Cottage Old Avenue Weybridge Surrey KT13 0PG</t>
  </si>
  <si>
    <t>2016/0515</t>
  </si>
  <si>
    <t>Withdean Cavendish Road Weybridge Surrey KT13 0JW</t>
  </si>
  <si>
    <t>2016/0754</t>
  </si>
  <si>
    <t>2016/0927</t>
  </si>
  <si>
    <t>Site of 103 Hogshill Lane Cobham KT11 2AH</t>
  </si>
  <si>
    <t>2016/1287</t>
  </si>
  <si>
    <t>Site of 287 and 289 Brooklands Road Weybridge Surrey KT13 0QZ</t>
  </si>
  <si>
    <t>2016/1367</t>
  </si>
  <si>
    <t>9 Campbell Road Weybridge Surrey KT13 0TF</t>
  </si>
  <si>
    <t>2016/1498</t>
  </si>
  <si>
    <t>Mimosa Blundel Lane Stoke D'Abernon Cobham Surrey KT11 2SF</t>
  </si>
  <si>
    <t>2016/1581</t>
  </si>
  <si>
    <t>2016/2023</t>
  </si>
  <si>
    <t>Carandal Brooklands Lane Weybridge Surrey KT13 8UX</t>
  </si>
  <si>
    <t>2016/2185</t>
  </si>
  <si>
    <t>1-7 Holly Parade High Street Cobham Surrey KT11 3EE</t>
  </si>
  <si>
    <t>2016/2216</t>
  </si>
  <si>
    <t>1 Pipers Close Cobham Surrey KT11 3AU</t>
  </si>
  <si>
    <t>2016/2562</t>
  </si>
  <si>
    <t>The Studio 4 York Road Weybridge Surrey KT13 9DR</t>
  </si>
  <si>
    <t>2016/2730</t>
  </si>
  <si>
    <t>Site of Arawa Cavendish Road Weybridge Surrey KT13 0JW</t>
  </si>
  <si>
    <t>2016/2921</t>
  </si>
  <si>
    <t>12 Richards Road Stoke D'Abernon Cobham Surrey KT11 2SX</t>
  </si>
  <si>
    <t>2016/3472</t>
  </si>
  <si>
    <t>Whiteley Village Octagon Road Hersham Walton-On-Thames KT12 4EH</t>
  </si>
  <si>
    <t>2017/0455</t>
  </si>
  <si>
    <t>Site Of April Cottage, Queens Road, Weybridge, Surrey, KT13 0AU</t>
  </si>
  <si>
    <t>2017/0494</t>
  </si>
  <si>
    <t>Unit 1 St John House 12 Portsmouth Road Cobham Surrey KT11 1HZ</t>
  </si>
  <si>
    <t>2017/0928</t>
  </si>
  <si>
    <t>Walton Court Station Avenue Walton-On-Thames Surrey KT12 1NT</t>
  </si>
  <si>
    <t>2017/1388</t>
  </si>
  <si>
    <t>Site of 52 Mizen Way Cobham KT11 2RL</t>
  </si>
  <si>
    <t>2017/1494</t>
  </si>
  <si>
    <t>The Glashaus 74 Portsmouth Road Cobham Surrey KT11 1HY</t>
  </si>
  <si>
    <t>2017/2261</t>
  </si>
  <si>
    <t>Cherrys St Georges Avenue Weybridge Surrey KT13 0BS</t>
  </si>
  <si>
    <t>2017/2743</t>
  </si>
  <si>
    <t>Charters Cavendish Road Weybridge Surrey KT13 0JN</t>
  </si>
  <si>
    <t>2017/3018</t>
  </si>
  <si>
    <t>14 Waverley Road, Stoke D'abernon, Cobham, Surrey, KT11 2SS</t>
  </si>
  <si>
    <t>2017/3214</t>
  </si>
  <si>
    <t>Wisley View Nursery Ockham Lane Cobham surrey KT11 1LP</t>
  </si>
  <si>
    <t>2017/3338</t>
  </si>
  <si>
    <t>Land North Of Firfields House Firfields Weybridge Surrey KT13 0UD</t>
  </si>
  <si>
    <t>2017/3823</t>
  </si>
  <si>
    <t>Applecross Eaton Park Road Cobham Surrey KT11 2JJ</t>
  </si>
  <si>
    <t>2017/3850</t>
  </si>
  <si>
    <t>19 Woodside Road Cobham KT11 2QR</t>
  </si>
  <si>
    <t>2018/0331</t>
  </si>
  <si>
    <t>39-41 High Street Cobham Surrey KT11 3DP</t>
  </si>
  <si>
    <t>2018/0640</t>
  </si>
  <si>
    <t>111 Queens Road Weybridge KT13 9UW</t>
  </si>
  <si>
    <t>2018/0653</t>
  </si>
  <si>
    <t>Belmont House Sandy Lane Cobham KT11 2EL</t>
  </si>
  <si>
    <t>2018/0698</t>
  </si>
  <si>
    <t>Raymar Steels Lane Oxshott Leatherhead KT22 0RX</t>
  </si>
  <si>
    <t>2018/2135</t>
  </si>
  <si>
    <t>Leverton St Georges Avenue Weybridge KT13 0DP</t>
  </si>
  <si>
    <t>2018/2241</t>
  </si>
  <si>
    <t>Land south of 158A Portsmouth Road, Cobham Surrey KT11 1HS</t>
  </si>
  <si>
    <t>2018/3023</t>
  </si>
  <si>
    <t>Wessex South Road Weybridge Surrey KT13 9DZ</t>
  </si>
  <si>
    <t>2019/0201</t>
  </si>
  <si>
    <t>Wood Cottage 30 Green Lane Cobham KT11 2NN</t>
  </si>
  <si>
    <t>2019/0560</t>
  </si>
  <si>
    <t>36 Stoke Road Cobham Surrey KT11 3BD</t>
  </si>
  <si>
    <t>2019/1264</t>
  </si>
  <si>
    <t>121 Queens Road Weybridge KT13 9UN</t>
  </si>
  <si>
    <t>2019/1268</t>
  </si>
  <si>
    <t>Broadlands Cottage St Georges Avenue Weybridge KT13 0DN</t>
  </si>
  <si>
    <t>2019/2403</t>
  </si>
  <si>
    <t>125B Queens Road Weybridge KT13 9UN</t>
  </si>
  <si>
    <t>2020/1872</t>
  </si>
  <si>
    <t>Land Northwest of 221-223 Portsmouth Road Cobham</t>
  </si>
  <si>
    <t>2020/2495</t>
  </si>
  <si>
    <t>45B Waverley Road Weybridge KT13 8UT</t>
  </si>
  <si>
    <t>2020/2903</t>
  </si>
  <si>
    <t>70 Fairmile Lane Cobham Surrey KT11 2DG</t>
  </si>
  <si>
    <t>2018/3184</t>
  </si>
  <si>
    <t>110 Fairmile Lane Cobham Surrey KT11 2BX</t>
  </si>
  <si>
    <t>2021/2004</t>
  </si>
  <si>
    <t>Land East of Fairmead Evelyn Way Stoke D'Abernon Cobham KT11 2SJ</t>
  </si>
  <si>
    <t>2019/2907</t>
  </si>
  <si>
    <t>Stokesay Blundel Lane Stoke Ltd D'Abernon Cobham Surrey KT11 2SE</t>
  </si>
  <si>
    <t>2018/1504</t>
  </si>
  <si>
    <t>15 Eaton Park Road Cobham KT11 2JJ</t>
  </si>
  <si>
    <t>&lt;50</t>
  </si>
  <si>
    <t>&gt;50</t>
  </si>
  <si>
    <t>&gt;50 or &lt;50 Units</t>
  </si>
  <si>
    <t>C2 but no discount as self-contained.</t>
  </si>
  <si>
    <t>C2 but no discount as self-contained,</t>
  </si>
  <si>
    <t>C2 - residents are mobile so 25% rate.</t>
  </si>
  <si>
    <t xml:space="preserve">5 km - 7 km zone and over 50 units so 25% rate. </t>
  </si>
  <si>
    <t>Esher Commons SANG</t>
  </si>
  <si>
    <t>Brookands Community Park SANG</t>
  </si>
  <si>
    <t>Total &gt;10 units and assigned to Brooklands</t>
  </si>
  <si>
    <t xml:space="preserve">Total &gt;10 units and assigned to Brooklands </t>
  </si>
  <si>
    <t>Allocation</t>
  </si>
  <si>
    <t>Delivery Period (years)</t>
  </si>
  <si>
    <t>Site Name</t>
  </si>
  <si>
    <t>Site allocation Ref.</t>
  </si>
  <si>
    <t>&gt;50 or &lt; 50 Units</t>
  </si>
  <si>
    <t>COS1</t>
  </si>
  <si>
    <t>Cedar House, Mill Road, Cobham, KT11 3AL</t>
  </si>
  <si>
    <t>COS2</t>
  </si>
  <si>
    <t>Cedar Road Car Park, Cedar Road, Cobham, KT11 2AA</t>
  </si>
  <si>
    <t>COS3</t>
  </si>
  <si>
    <t>Site B Garages at Wyndham Avenue, Cobham</t>
  </si>
  <si>
    <t>COS4</t>
  </si>
  <si>
    <t>COS5</t>
  </si>
  <si>
    <t>Garages at Waverley Road, Oxshott</t>
  </si>
  <si>
    <t xml:space="preserve"> 1-5</t>
  </si>
  <si>
    <t>COS6</t>
  </si>
  <si>
    <t>40 Fairmile Lane, Cobham, KT11 2DQ</t>
  </si>
  <si>
    <t>COS7</t>
  </si>
  <si>
    <t>4 Fernhill, Oxshott, KT22 0JH</t>
  </si>
  <si>
    <t>COS8</t>
  </si>
  <si>
    <t>52 Fairmile Lane, Cobham, KT11 2DF</t>
  </si>
  <si>
    <t>COS9</t>
  </si>
  <si>
    <t>Pineview, Fairmile Park Road, Cobham, KT11 2PG</t>
  </si>
  <si>
    <t>COS10</t>
  </si>
  <si>
    <t>Garage block, Middleton Road, Downside</t>
  </si>
  <si>
    <t>COS11</t>
  </si>
  <si>
    <t>Garages at Bennett Close, Cobham</t>
  </si>
  <si>
    <t xml:space="preserve"> 6-10</t>
  </si>
  <si>
    <t>COS12</t>
  </si>
  <si>
    <t>Glenelm and 160 Anyard Roads, Conham, KT11 2LH</t>
  </si>
  <si>
    <t>COS13</t>
  </si>
  <si>
    <t>1, 3 and 5 Goldrings Road, Oxshott, Leatherhead, KT22 0QP</t>
  </si>
  <si>
    <t>COS14</t>
  </si>
  <si>
    <t>Cobham Village Hall and Centre for the Community, Lushington Drive, Cobham, KT11 2LU</t>
  </si>
  <si>
    <t>COS15</t>
  </si>
  <si>
    <t>87 Portsmouth Road, Cobham, KT11 1JH</t>
  </si>
  <si>
    <t>COS16</t>
  </si>
  <si>
    <t>Cobham Health Centre and Garages off Tartar Road</t>
  </si>
  <si>
    <t>COS17</t>
  </si>
  <si>
    <t>Selden Cottage and Ronmar, Leatherhead Road, KT22 0EX</t>
  </si>
  <si>
    <t>COS18</t>
  </si>
  <si>
    <t>73 Between Streets, Cobham, KT11 1AA</t>
  </si>
  <si>
    <t xml:space="preserve"> 11-15</t>
  </si>
  <si>
    <t>COS20</t>
  </si>
  <si>
    <t>Ambleside, 3 The Spinney, Queens Drive, KT22 0PL</t>
  </si>
  <si>
    <t>COS21</t>
  </si>
  <si>
    <t>Coveham House, Downside Bridge Road and The Royal British Legion, Hollyhedge Road, Cobham</t>
  </si>
  <si>
    <t>COS22</t>
  </si>
  <si>
    <t>Shell Fairmile, 270 Portsmouth Road, Cobham, KT11 1HU</t>
  </si>
  <si>
    <t>COS23</t>
  </si>
  <si>
    <t>68 Between Streets and 7-11 White Lion Gate, Cobham</t>
  </si>
  <si>
    <t>COS24</t>
  </si>
  <si>
    <t>Above Waitrose, 16-18 Between Streets, Cobham, KT11 1AF</t>
  </si>
  <si>
    <t>COS25</t>
  </si>
  <si>
    <t>Garages and parking to the rear of Cobham Gate, Cobham</t>
  </si>
  <si>
    <t>COS26</t>
  </si>
  <si>
    <t>Tiltwood Care Home, Hogshill Lane, Cobham, KT11 2AQ</t>
  </si>
  <si>
    <t>COS27</t>
  </si>
  <si>
    <t>Ford Garage, 97 Portsmouth Road, Cobham, KT11 1JJ</t>
  </si>
  <si>
    <t>COS28</t>
  </si>
  <si>
    <t>Premier Service Station, 101 Portsmouth Road, Cobham, KT11 1JN</t>
  </si>
  <si>
    <t>COS29</t>
  </si>
  <si>
    <t>Protech House, Copse Road, Cobham, KT11 2TW</t>
  </si>
  <si>
    <t>COS30</t>
  </si>
  <si>
    <t>38 Copse Road, Cobham, KT11 2TW</t>
  </si>
  <si>
    <t>COS31</t>
  </si>
  <si>
    <t>20 Stoke Road, Cobham</t>
  </si>
  <si>
    <t>COS32</t>
  </si>
  <si>
    <t>Sainsbury's car park, Bridge Way, Cobham, KT11 1HW</t>
  </si>
  <si>
    <t>COS33</t>
  </si>
  <si>
    <t>BMW Cobham, 18-22 Portsmouth Road, Cobham</t>
  </si>
  <si>
    <t>COS34</t>
  </si>
  <si>
    <t>Oxshott Medical Practice and Village Centre Hall, Holtwood Road</t>
  </si>
  <si>
    <t>COS35</t>
  </si>
  <si>
    <t>78 Portsmouth Road, Cobham</t>
  </si>
  <si>
    <t>ESH22</t>
  </si>
  <si>
    <t>15 Clare Hill, Esher, KT10 9NB</t>
  </si>
  <si>
    <t>1-5</t>
  </si>
  <si>
    <t>6-10</t>
  </si>
  <si>
    <t>11-15</t>
  </si>
  <si>
    <t>H3</t>
  </si>
  <si>
    <t>Hersham Shopping Centre, Molesey Road, Hersham</t>
  </si>
  <si>
    <t>H14</t>
  </si>
  <si>
    <t>Hersham Technology Park (Air Products)</t>
  </si>
  <si>
    <t>WOT31</t>
  </si>
  <si>
    <t>Station Avenue Car Park, Station Avenue, Walton-on-Thames</t>
  </si>
  <si>
    <t>WEY9</t>
  </si>
  <si>
    <t>Heath Lodge, St Georges Avenue</t>
  </si>
  <si>
    <t>WEY14</t>
  </si>
  <si>
    <t>HFMC House, New Road and 51 Prince's Road, Weybridge, KT13 9BN</t>
  </si>
  <si>
    <t>WEY19</t>
  </si>
  <si>
    <t>Shell Petrol Filling Station, 95 Brooklands Road, Weybridge, KT13 0RP</t>
  </si>
  <si>
    <t>WEY23</t>
  </si>
  <si>
    <t>2-8 Princes Road, Weybridge, KT13 9BQ</t>
  </si>
  <si>
    <t>WEY30</t>
  </si>
  <si>
    <t>1 Princes Road, Weybridge, KT13 9TU</t>
  </si>
  <si>
    <t>WEY34</t>
  </si>
  <si>
    <t>GlaxoSmithKline, St. Georges Avenue</t>
  </si>
  <si>
    <t>WEY37</t>
  </si>
  <si>
    <t>Foxholes, Weybridge, KT13 0BN</t>
  </si>
  <si>
    <t>Part 400m – 5km
Part 5km - 7km</t>
  </si>
  <si>
    <t>TBH Zone 400m – 5km</t>
  </si>
  <si>
    <t xml:space="preserve">Mostly within 5km - 7km zone but a small portion falls outside the zone. 
5km - 7km zone and over 50 units therefore must mitigate at 25% rate.
Done 100% of allocation as don't know at this stage where development will fall. </t>
  </si>
  <si>
    <t>5km - 7km zone and over 50 units therefore must mitigate at 25% rate.</t>
  </si>
  <si>
    <t>Approx. 3/4 of allocation is within the 5km - 7km zone. 1/4 in the 400m - 5km zone.
3/4 of 78 = 58.5. 58.5 is over 50 so must mitigate at 25% rate whih = 14.625.
Remaining 19.5 must mitigate at 100%. Giving total of 34.125 units.</t>
  </si>
  <si>
    <t>Garages to the rear of 6-32 Lockhart Road, Cobham</t>
  </si>
  <si>
    <t>Within 5km - 7km zone but less than 50 units. No mitigation required.</t>
  </si>
  <si>
    <t xml:space="preserve">Allocated for 24 care home units. At this stage don't know the mobile of potential occupants. Conservative appraoch taken meaning 100% mitigation required. </t>
  </si>
  <si>
    <t>Units</t>
  </si>
  <si>
    <t>Persons</t>
  </si>
  <si>
    <t>Total - Units</t>
  </si>
  <si>
    <t>Total - Persons</t>
  </si>
  <si>
    <t>2022/23</t>
  </si>
  <si>
    <t>2021/22</t>
  </si>
  <si>
    <t>2020/21</t>
  </si>
  <si>
    <t>Average Occupancy Rate</t>
  </si>
  <si>
    <t>2.4 people</t>
  </si>
  <si>
    <t>Units in 400m - 5km zone</t>
  </si>
  <si>
    <t>Units in 5km - 7km zone</t>
  </si>
  <si>
    <t>LHNA Mix</t>
  </si>
  <si>
    <t>Market</t>
  </si>
  <si>
    <t>1-bed</t>
  </si>
  <si>
    <t>2-bed</t>
  </si>
  <si>
    <t>3-bed</t>
  </si>
  <si>
    <t>4-bed</t>
  </si>
  <si>
    <t>Affordable</t>
  </si>
  <si>
    <t>5-bed+</t>
  </si>
  <si>
    <t>Windfall</t>
  </si>
  <si>
    <t>Zone of Influence</t>
  </si>
  <si>
    <t>Anticipated net units in Plan period</t>
  </si>
  <si>
    <t>Anticipated number of persons to be mitigated</t>
  </si>
  <si>
    <t xml:space="preserve">Windfall units </t>
  </si>
  <si>
    <t>Persons to be mitigated from windfall units</t>
  </si>
  <si>
    <t>Natural England standard of provision</t>
  </si>
  <si>
    <t>400m - 5km</t>
  </si>
  <si>
    <t>5km - 7km</t>
  </si>
  <si>
    <t>TBH 400m - 5km</t>
  </si>
  <si>
    <t>TBH 5km - 7km</t>
  </si>
  <si>
    <t>Year</t>
  </si>
  <si>
    <t>Windfall within 400m - 5km zone</t>
  </si>
  <si>
    <t>Within 5km - 7km zone</t>
  </si>
  <si>
    <t>2016/17</t>
  </si>
  <si>
    <t>2017/18</t>
  </si>
  <si>
    <t>2018/19</t>
  </si>
  <si>
    <t>2019/20</t>
  </si>
  <si>
    <t>Average</t>
  </si>
  <si>
    <t>8 ha / 1000 population</t>
  </si>
  <si>
    <t>2 ha / 1000 population</t>
  </si>
  <si>
    <t>Detailed Occupancy Rate</t>
  </si>
  <si>
    <t>Timeframe</t>
  </si>
  <si>
    <t>Year 1 - 5</t>
  </si>
  <si>
    <t>Year 6 - 10</t>
  </si>
  <si>
    <t>Year 11 - 15</t>
  </si>
  <si>
    <t>400m - 5km Zone</t>
  </si>
  <si>
    <t>5km - 7km Zone</t>
  </si>
  <si>
    <t>Allocations</t>
  </si>
  <si>
    <t>Allocations - Units</t>
  </si>
  <si>
    <t>Windfall - Units</t>
  </si>
  <si>
    <t>Allocations - Persons</t>
  </si>
  <si>
    <t>Windfall - Persons</t>
  </si>
  <si>
    <t>Occupancy</t>
  </si>
  <si>
    <t>Note:</t>
  </si>
  <si>
    <t xml:space="preserve">No mitigation required for windfall in 5km - 7km zone as would be under 50 units. </t>
  </si>
  <si>
    <t>Assume windfall come forward as 4-bed units as worst case scenario.</t>
  </si>
  <si>
    <t>SANG Required (ha)</t>
  </si>
  <si>
    <t>Mitigation Required (ha)</t>
  </si>
  <si>
    <t>SANG</t>
  </si>
  <si>
    <t>Area (ha)</t>
  </si>
  <si>
    <t>Catchment</t>
  </si>
  <si>
    <t>Original capacity (units)</t>
  </si>
  <si>
    <t>Remaining capacity (units)</t>
  </si>
  <si>
    <t>Esher Commons</t>
  </si>
  <si>
    <t>Strategic</t>
  </si>
  <si>
    <t>5km</t>
  </si>
  <si>
    <t>Brooklands Community Park</t>
  </si>
  <si>
    <t xml:space="preserve">5km </t>
  </si>
  <si>
    <t>Type of site</t>
  </si>
  <si>
    <t>** Although the area designated as SANG is 24ha, the mitigation capacity is based on an area of 22ha as a discount was applied for formal play provision.</t>
  </si>
  <si>
    <t>* Although the area designated as SANG is 38ha, the mitigation capacity is based on an area of 19.6ha as a discount was applied for pre-existing visitor numbers to the site prior to its designation.</t>
  </si>
  <si>
    <t>Notes:</t>
  </si>
  <si>
    <t>Exhausted capacity (units)</t>
  </si>
  <si>
    <t>Brooklands &amp; Esher</t>
  </si>
  <si>
    <t>38*</t>
  </si>
  <si>
    <t>24**</t>
  </si>
  <si>
    <t>Persons to be mitigated</t>
  </si>
  <si>
    <t>Mitigation land required</t>
  </si>
  <si>
    <t>Remaining capacity (persons)</t>
  </si>
  <si>
    <t>Remaining Land (ha)</t>
  </si>
  <si>
    <t>Allocations - Anticipated residential units by timeframe and zone of influence</t>
  </si>
  <si>
    <t>Allocations - Anticipated residential units within the zones of influence and required provision of mitigation land</t>
  </si>
  <si>
    <t>Sub total</t>
  </si>
  <si>
    <t>Avg * 10 yrs</t>
  </si>
  <si>
    <t>Avg * 5 yrs</t>
  </si>
  <si>
    <t>5 yr Average</t>
  </si>
  <si>
    <t>Available SANG Capacity</t>
  </si>
  <si>
    <t>H12</t>
  </si>
  <si>
    <t>Car Park next to Waterloo Court</t>
  </si>
  <si>
    <t>2023/24</t>
  </si>
  <si>
    <t>2023/0714</t>
  </si>
  <si>
    <t>2020/1626</t>
  </si>
  <si>
    <t>2021/3348</t>
  </si>
  <si>
    <t>2022/1672</t>
  </si>
  <si>
    <t>2022/2746</t>
  </si>
  <si>
    <t>2022/1400</t>
  </si>
  <si>
    <t>2023/1382</t>
  </si>
  <si>
    <t>2021/2350</t>
  </si>
  <si>
    <t>2023/0787</t>
  </si>
  <si>
    <t>2023/1043</t>
  </si>
  <si>
    <t>Building B 205 St Georges Business Park Brooklands Road Weybridge Surrey KT13 0BG</t>
  </si>
  <si>
    <t>Cedar House Mill Road Cobham Surrey KT11 3AL</t>
  </si>
  <si>
    <t>Holly Lodge 68 Stoke Road Stoke D'Abernon Cobham Surrey KT11 3PX</t>
  </si>
  <si>
    <t>Members Hill Brooklands Road Weybridge Surrey KT13 0QU</t>
  </si>
  <si>
    <t>Garage Block Bennett Close Cobham Surrey KT11 1AJ</t>
  </si>
  <si>
    <t>Ikona Court Weybridge Surrey KT13 0DW</t>
  </si>
  <si>
    <t>44 Octagon Road Whiteley Village Hersham Walton-On-Thames Surrey KT12 4EA</t>
  </si>
  <si>
    <t>1A Locke King Road Weybridge Surrey KT13 0SY</t>
  </si>
  <si>
    <t>6 Pine Grove Weybridge Surrey KT13 9AX</t>
  </si>
  <si>
    <t>Garage Block between 46 - 48 Middleton Road Downside Cobham Surrey KT11 3NR</t>
  </si>
  <si>
    <t xml:space="preserve">units can be assigned to either SANG </t>
  </si>
  <si>
    <t>Esher Remaining Capacity*</t>
  </si>
  <si>
    <t>Brooklands Remaining Capacity*</t>
  </si>
  <si>
    <t>FUL/CoU</t>
  </si>
  <si>
    <t>PAG/CoU</t>
  </si>
  <si>
    <t>&gt;10 units and can be assigned to either SANG</t>
  </si>
  <si>
    <t xml:space="preserve">Site is within the 5 km - 7 km zone and is for over 50 units. Must be mitigated at 25% rate.  </t>
  </si>
  <si>
    <t xml:space="preserve">Highlights the use is C2. Notes column comments on whether the scheme has been mitigated at a discounted rate. </t>
  </si>
  <si>
    <t>Site is within the 5km - 7km zone but is for less than 50 units. No mitigation required.</t>
  </si>
  <si>
    <t>Persons Requiring Mitigation</t>
  </si>
  <si>
    <t>Persons Requring Mitigation</t>
  </si>
  <si>
    <t xml:space="preserve">Persons Requiring Mitigation </t>
  </si>
  <si>
    <t>Starting Capacity - Units</t>
  </si>
  <si>
    <t xml:space="preserve">* assuming unassigned shcemes are split 50:50 between the sites. </t>
  </si>
  <si>
    <t>Remaining Capacity - units</t>
  </si>
  <si>
    <t>Total Remaining Capacity - ha</t>
  </si>
  <si>
    <t>Exhausted Capacity - units</t>
  </si>
  <si>
    <t>Total Remaing Capacity*</t>
  </si>
  <si>
    <t>Total Remaining Capacity - persons</t>
  </si>
  <si>
    <t xml:space="preserve">assume unassigned shcemes are split 50:50 between the sites. </t>
  </si>
  <si>
    <t>SANG Capacity Calculation to 31 Dec. 2023 by Units</t>
  </si>
  <si>
    <t>SANG Capacity Calculation taking current remaining capacity as of 31 Dec. 2023 and NLP Allocations into account using an NLP compliant mix</t>
  </si>
  <si>
    <t>2009/0005</t>
  </si>
  <si>
    <t xml:space="preserve">100A Fairmile Lane, Cobham, Surrey, KT11 2BX  </t>
  </si>
  <si>
    <t>2010/0296</t>
  </si>
  <si>
    <t>Land at 15 and 16 Milner Drive Cobham Surrey KT11 2EZ</t>
  </si>
  <si>
    <t>2017/1360</t>
  </si>
  <si>
    <t>Woodlands Park Stables Woodlands Lane Stoke D'Abernon Cobham KT11 3QA</t>
  </si>
  <si>
    <t>2017/1891</t>
  </si>
  <si>
    <t>Land to the rear of Vehicle Workshop Turners Lane Hersham Surrey KT12 4AW</t>
  </si>
  <si>
    <t>LDC</t>
  </si>
  <si>
    <t>2019/2556</t>
  </si>
  <si>
    <t>Stompond Lane Sports Ground Stompond Lane Walton-On-Thames Surrey KT12 1HF</t>
  </si>
  <si>
    <t>CoU (Vacant)</t>
  </si>
  <si>
    <t>2015/2094</t>
  </si>
  <si>
    <t>Mayfair Place St Georges Avenue Weybridge KT13 0DN</t>
  </si>
  <si>
    <t>2014/330</t>
  </si>
  <si>
    <t>37 Icklingham Road Cobham Surrey KT11 2NH</t>
  </si>
  <si>
    <t>2020/0816</t>
  </si>
  <si>
    <t>3 Beacon Mews South Road Weybridge KT13 9DZ</t>
  </si>
  <si>
    <t>Brookands</t>
  </si>
  <si>
    <t>2016/1770</t>
  </si>
  <si>
    <t>Loreto The Fairway Weybridge Surrey KT13 0RZ</t>
  </si>
  <si>
    <t>2020/0236</t>
  </si>
  <si>
    <t>2 Stoke Road Cobham KT11 3AS</t>
  </si>
  <si>
    <t>2017/2173</t>
  </si>
  <si>
    <t>2019/3494</t>
  </si>
  <si>
    <t>Horsley Bungalow Old Avenue Weybridge KT13 0PS</t>
  </si>
  <si>
    <t>Employment floorspace allocation.</t>
  </si>
  <si>
    <t>No longer available as per 2023 LAA.</t>
  </si>
  <si>
    <t>5km - 7km zone and over 50 units therefore must mitigate at 25% rate. No longer available as per 2023 LAA.</t>
  </si>
  <si>
    <t>Changed to 8 units in 2023 LAA.</t>
  </si>
  <si>
    <t xml:space="preserve">No longer able to be an allocation as has become committed site as per LAA 2023. </t>
  </si>
  <si>
    <t>No longer able to be an allocation as has become committed site as per LAA 2023. Within 5km - 7km zone but less than 50 units. No mitigation required.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</si>
</sst>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49">
    <xf numFmtId="0" fontId="0" fillId="0" borderId="0" xfId="0"/>
    <xf numFmtId="0" fontId="1" fillId="0" borderId="0" xfId="0" applyFont="1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justify" wrapText="1"/>
    </xf>
    <xf numFmtId="0" fontId="4" fillId="0" borderId="0" xfId="1" applyFont="1" applyFill="1" applyBorder="1" applyAlignment="1"/>
    <xf numFmtId="0" fontId="4" fillId="0" borderId="0" xfId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 vertical="justify"/>
    </xf>
    <xf numFmtId="0" fontId="4" fillId="2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wrapText="1"/>
    </xf>
    <xf numFmtId="17" fontId="2" fillId="0" borderId="0" xfId="1" applyNumberFormat="1" applyFont="1" applyFill="1" applyBorder="1" applyAlignment="1">
      <alignment horizontal="center" wrapText="1"/>
    </xf>
    <xf numFmtId="15" fontId="2" fillId="0" borderId="0" xfId="1" applyNumberFormat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center"/>
    </xf>
    <xf numFmtId="17" fontId="2" fillId="0" borderId="0" xfId="1" applyNumberFormat="1" applyFont="1" applyFill="1" applyBorder="1" applyAlignment="1">
      <alignment horizontal="center"/>
    </xf>
    <xf numFmtId="0" fontId="2" fillId="2" borderId="0" xfId="1" applyFont="1" applyFill="1" applyBorder="1" applyAlignment="1">
      <alignment wrapText="1"/>
    </xf>
    <xf numFmtId="0" fontId="2" fillId="2" borderId="0" xfId="1" applyFont="1" applyFill="1" applyBorder="1" applyAlignment="1"/>
    <xf numFmtId="0" fontId="2" fillId="2" borderId="0" xfId="1" applyFont="1" applyFill="1" applyBorder="1" applyAlignment="1">
      <alignment horizontal="center"/>
    </xf>
    <xf numFmtId="14" fontId="2" fillId="2" borderId="0" xfId="1" applyNumberFormat="1" applyFont="1" applyFill="1" applyBorder="1" applyAlignment="1">
      <alignment horizontal="center"/>
    </xf>
    <xf numFmtId="15" fontId="2" fillId="2" borderId="0" xfId="1" applyNumberFormat="1" applyFont="1" applyFill="1" applyBorder="1" applyAlignment="1">
      <alignment horizontal="center" wrapText="1"/>
    </xf>
    <xf numFmtId="0" fontId="2" fillId="2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7" fontId="2" fillId="0" borderId="0" xfId="0" applyNumberFormat="1" applyFont="1" applyFill="1" applyBorder="1" applyAlignment="1">
      <alignment horizontal="center"/>
    </xf>
    <xf numFmtId="1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1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/>
    <xf numFmtId="0" fontId="4" fillId="0" borderId="0" xfId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>
      <alignment horizontal="left" vertical="center"/>
    </xf>
    <xf numFmtId="0" fontId="4" fillId="0" borderId="0" xfId="0" applyFont="1" applyAlignment="1">
      <alignment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wrapText="1"/>
    </xf>
    <xf numFmtId="0" fontId="2" fillId="0" borderId="0" xfId="1" applyFont="1" applyAlignment="1">
      <alignment wrapText="1"/>
    </xf>
    <xf numFmtId="0" fontId="2" fillId="4" borderId="0" xfId="1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4" borderId="0" xfId="0" applyFont="1" applyFill="1"/>
    <xf numFmtId="0" fontId="2" fillId="4" borderId="0" xfId="0" applyFont="1" applyFill="1" applyAlignment="1">
      <alignment horizontal="center" wrapText="1"/>
    </xf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0" borderId="0" xfId="1" applyFont="1" applyAlignment="1">
      <alignment horizontal="left" wrapText="1"/>
    </xf>
    <xf numFmtId="0" fontId="2" fillId="0" borderId="0" xfId="0" applyFont="1" applyAlignme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1" applyFont="1" applyAlignment="1">
      <alignment horizontal="left" vertical="center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Border="1" applyAlignment="1"/>
    <xf numFmtId="49" fontId="5" fillId="0" borderId="0" xfId="0" applyNumberFormat="1" applyFont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3" borderId="0" xfId="0" applyFont="1" applyFill="1" applyBorder="1" applyAlignment="1"/>
    <xf numFmtId="0" fontId="2" fillId="3" borderId="0" xfId="0" applyFont="1" applyFill="1" applyAlignment="1"/>
    <xf numFmtId="0" fontId="2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49" fontId="2" fillId="3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/>
    <xf numFmtId="49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0" xfId="0" applyFont="1" applyFill="1" applyAlignment="1"/>
    <xf numFmtId="49" fontId="2" fillId="4" borderId="0" xfId="0" applyNumberFormat="1" applyFont="1" applyFill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Alignment="1"/>
    <xf numFmtId="164" fontId="5" fillId="0" borderId="0" xfId="0" applyNumberFormat="1" applyFont="1" applyAlignment="1">
      <alignment horizontal="center"/>
    </xf>
    <xf numFmtId="2" fontId="2" fillId="4" borderId="0" xfId="0" applyNumberFormat="1" applyFont="1" applyFill="1" applyAlignment="1">
      <alignment horizontal="center"/>
    </xf>
    <xf numFmtId="2" fontId="2" fillId="3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9" fontId="2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left"/>
    </xf>
    <xf numFmtId="9" fontId="5" fillId="0" borderId="0" xfId="0" applyNumberFormat="1" applyFont="1" applyAlignment="1">
      <alignment horizontal="left"/>
    </xf>
    <xf numFmtId="165" fontId="0" fillId="0" borderId="0" xfId="0" applyNumberFormat="1" applyAlignment="1">
      <alignment horizontal="center"/>
    </xf>
    <xf numFmtId="0" fontId="3" fillId="0" borderId="0" xfId="0" applyFont="1" applyBorder="1" applyAlignment="1">
      <alignment vertical="center"/>
    </xf>
    <xf numFmtId="165" fontId="5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5" fillId="0" borderId="0" xfId="0" applyFont="1" applyBorder="1"/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5" fontId="2" fillId="0" borderId="0" xfId="0" applyNumberFormat="1" applyFont="1"/>
    <xf numFmtId="1" fontId="2" fillId="0" borderId="0" xfId="0" applyNumberFormat="1" applyFont="1" applyFill="1" applyAlignment="1">
      <alignment horizontal="center"/>
    </xf>
    <xf numFmtId="1" fontId="5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1" fontId="2" fillId="0" borderId="0" xfId="0" applyNumberFormat="1" applyFont="1"/>
    <xf numFmtId="1" fontId="5" fillId="0" borderId="0" xfId="0" applyNumberFormat="1" applyFont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5" fillId="0" borderId="0" xfId="0" applyNumberFormat="1" applyFont="1" applyFill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0" xfId="0" applyFont="1"/>
    <xf numFmtId="1" fontId="5" fillId="0" borderId="0" xfId="0" applyNumberFormat="1" applyFont="1" applyAlignment="1">
      <alignment horizontal="left"/>
    </xf>
    <xf numFmtId="0" fontId="2" fillId="0" borderId="0" xfId="0" applyFont="1" applyFill="1" applyAlignment="1"/>
    <xf numFmtId="49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4" fillId="0" borderId="0" xfId="1" applyFont="1" applyAlignment="1">
      <alignment horizontal="center" wrapText="1"/>
    </xf>
    <xf numFmtId="0" fontId="4" fillId="0" borderId="0" xfId="1" applyFont="1" applyFill="1" applyAlignment="1">
      <alignment horizontal="center" wrapText="1"/>
    </xf>
    <xf numFmtId="0" fontId="4" fillId="0" borderId="0" xfId="1" applyFont="1" applyFill="1" applyAlignment="1">
      <alignment wrapText="1"/>
    </xf>
    <xf numFmtId="0" fontId="2" fillId="0" borderId="0" xfId="1" applyAlignment="1">
      <alignment horizontal="center" wrapText="1"/>
    </xf>
    <xf numFmtId="0" fontId="2" fillId="0" borderId="0" xfId="1" applyFill="1" applyAlignment="1">
      <alignment horizontal="center" wrapText="1"/>
    </xf>
    <xf numFmtId="17" fontId="2" fillId="0" borderId="0" xfId="1" applyNumberFormat="1" applyFill="1" applyBorder="1" applyAlignment="1">
      <alignment horizontal="center" wrapText="1"/>
    </xf>
    <xf numFmtId="17" fontId="2" fillId="0" borderId="0" xfId="1" applyNumberFormat="1" applyBorder="1" applyAlignment="1">
      <alignment horizontal="center" wrapText="1"/>
    </xf>
    <xf numFmtId="0" fontId="4" fillId="2" borderId="0" xfId="1" applyFont="1" applyFill="1" applyAlignment="1">
      <alignment horizontal="center" wrapText="1"/>
    </xf>
    <xf numFmtId="0" fontId="4" fillId="2" borderId="0" xfId="1" applyFont="1" applyFill="1" applyAlignment="1">
      <alignment wrapText="1"/>
    </xf>
    <xf numFmtId="0" fontId="2" fillId="2" borderId="0" xfId="1" applyFill="1" applyAlignment="1">
      <alignment horizontal="center" wrapText="1"/>
    </xf>
    <xf numFmtId="17" fontId="2" fillId="2" borderId="0" xfId="1" applyNumberFormat="1" applyFill="1" applyBorder="1" applyAlignment="1">
      <alignment horizontal="center" wrapText="1"/>
    </xf>
    <xf numFmtId="0" fontId="2" fillId="2" borderId="0" xfId="1" applyFont="1" applyFill="1" applyBorder="1" applyAlignment="1">
      <alignment horizontal="left" wrapText="1"/>
    </xf>
    <xf numFmtId="1" fontId="2" fillId="0" borderId="0" xfId="0" applyNumberFormat="1" applyFont="1" applyFill="1" applyAlignment="1">
      <alignment horizontal="left"/>
    </xf>
    <xf numFmtId="166" fontId="2" fillId="0" borderId="0" xfId="0" applyNumberFormat="1" applyFont="1" applyAlignment="1">
      <alignment horizontal="center"/>
    </xf>
    <xf numFmtId="49" fontId="2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Normal 2 6" xfId="1" xr:uid="{B201C050-0DBB-4018-9A3D-78C55EC0A25C}"/>
  </cellStyles>
  <dxfs count="3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D"/>
        </patternFill>
      </fill>
    </dxf>
    <dxf>
      <font>
        <color rgb="FF9C0006"/>
      </font>
      <fill>
        <patternFill>
          <bgColor rgb="FFFFC7CD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 patternType="solid">
          <bgColor rgb="FF00FFCC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 patternType="solid">
          <bgColor rgb="FF00FFCC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 patternType="solid">
          <bgColor rgb="FF00FFCC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145FC-D414-4195-8362-957BD88D8268}">
  <dimension ref="A1:B41"/>
  <sheetViews>
    <sheetView workbookViewId="0">
      <selection activeCell="B45" sqref="B45"/>
    </sheetView>
  </sheetViews>
  <sheetFormatPr defaultRowHeight="12.75" x14ac:dyDescent="0.2"/>
  <cols>
    <col min="1" max="1" width="23.85546875" style="26" bestFit="1" customWidth="1"/>
    <col min="2" max="2" width="99.85546875" style="26" bestFit="1" customWidth="1"/>
    <col min="3" max="16384" width="9.140625" style="26"/>
  </cols>
  <sheetData>
    <row r="1" spans="1:2" x14ac:dyDescent="0.2">
      <c r="A1" s="38" t="s">
        <v>93</v>
      </c>
    </row>
    <row r="3" spans="1:2" x14ac:dyDescent="0.2">
      <c r="A3" s="26" t="s">
        <v>4</v>
      </c>
      <c r="B3" s="26" t="s">
        <v>94</v>
      </c>
    </row>
    <row r="4" spans="1:2" x14ac:dyDescent="0.2">
      <c r="A4" s="26" t="s">
        <v>95</v>
      </c>
      <c r="B4" s="26" t="s">
        <v>96</v>
      </c>
    </row>
    <row r="6" spans="1:2" x14ac:dyDescent="0.2">
      <c r="A6" s="26" t="s">
        <v>97</v>
      </c>
      <c r="B6" s="26" t="s">
        <v>98</v>
      </c>
    </row>
    <row r="7" spans="1:2" x14ac:dyDescent="0.2">
      <c r="A7" s="26" t="s">
        <v>169</v>
      </c>
      <c r="B7" s="26" t="s">
        <v>168</v>
      </c>
    </row>
    <row r="9" spans="1:2" x14ac:dyDescent="0.2">
      <c r="A9" s="26" t="s">
        <v>72</v>
      </c>
      <c r="B9" s="26" t="s">
        <v>99</v>
      </c>
    </row>
    <row r="10" spans="1:2" x14ac:dyDescent="0.2">
      <c r="A10" s="26" t="s">
        <v>78</v>
      </c>
      <c r="B10" s="26" t="s">
        <v>170</v>
      </c>
    </row>
    <row r="12" spans="1:2" x14ac:dyDescent="0.2">
      <c r="A12" s="26" t="s">
        <v>587</v>
      </c>
      <c r="B12" s="26" t="s">
        <v>588</v>
      </c>
    </row>
    <row r="14" spans="1:2" x14ac:dyDescent="0.2">
      <c r="A14" s="38" t="s">
        <v>620</v>
      </c>
    </row>
    <row r="15" spans="1:2" x14ac:dyDescent="0.2">
      <c r="A15" s="56" t="s">
        <v>593</v>
      </c>
      <c r="B15" s="56">
        <v>1.31</v>
      </c>
    </row>
    <row r="16" spans="1:2" x14ac:dyDescent="0.2">
      <c r="A16" s="56" t="s">
        <v>594</v>
      </c>
      <c r="B16" s="56">
        <v>1.76</v>
      </c>
    </row>
    <row r="17" spans="1:2" x14ac:dyDescent="0.2">
      <c r="A17" s="56" t="s">
        <v>595</v>
      </c>
      <c r="B17" s="56">
        <v>2.5099999999999998</v>
      </c>
    </row>
    <row r="18" spans="1:2" x14ac:dyDescent="0.2">
      <c r="A18" s="56" t="s">
        <v>596</v>
      </c>
      <c r="B18" s="56">
        <v>2.86</v>
      </c>
    </row>
    <row r="19" spans="1:2" x14ac:dyDescent="0.2">
      <c r="A19" s="56" t="s">
        <v>598</v>
      </c>
      <c r="B19" s="56">
        <v>3.73</v>
      </c>
    </row>
    <row r="20" spans="1:2" x14ac:dyDescent="0.2">
      <c r="A20" s="26" t="s">
        <v>617</v>
      </c>
      <c r="B20" s="121">
        <f>AVERAGE(B15:B19)</f>
        <v>2.4340000000000002</v>
      </c>
    </row>
    <row r="22" spans="1:2" x14ac:dyDescent="0.2">
      <c r="A22" s="75" t="s">
        <v>591</v>
      </c>
    </row>
    <row r="23" spans="1:2" x14ac:dyDescent="0.2">
      <c r="A23" s="26" t="s">
        <v>592</v>
      </c>
      <c r="B23" s="105">
        <v>0.7</v>
      </c>
    </row>
    <row r="24" spans="1:2" x14ac:dyDescent="0.2">
      <c r="A24" s="56" t="s">
        <v>597</v>
      </c>
      <c r="B24" s="105">
        <v>0.3</v>
      </c>
    </row>
    <row r="25" spans="1:2" x14ac:dyDescent="0.2">
      <c r="A25" s="56"/>
      <c r="B25" s="105"/>
    </row>
    <row r="26" spans="1:2" x14ac:dyDescent="0.2">
      <c r="A26" s="26" t="s">
        <v>592</v>
      </c>
      <c r="B26" s="106"/>
    </row>
    <row r="27" spans="1:2" x14ac:dyDescent="0.2">
      <c r="A27" s="26" t="s">
        <v>593</v>
      </c>
      <c r="B27" s="105">
        <v>0.2</v>
      </c>
    </row>
    <row r="28" spans="1:2" x14ac:dyDescent="0.2">
      <c r="A28" s="26" t="s">
        <v>594</v>
      </c>
      <c r="B28" s="105">
        <v>0.5</v>
      </c>
    </row>
    <row r="29" spans="1:2" x14ac:dyDescent="0.2">
      <c r="A29" s="26" t="s">
        <v>595</v>
      </c>
      <c r="B29" s="105">
        <v>0.2</v>
      </c>
    </row>
    <row r="30" spans="1:2" x14ac:dyDescent="0.2">
      <c r="A30" s="26" t="s">
        <v>596</v>
      </c>
      <c r="B30" s="105">
        <v>0.1</v>
      </c>
    </row>
    <row r="31" spans="1:2" x14ac:dyDescent="0.2">
      <c r="B31" s="56"/>
    </row>
    <row r="32" spans="1:2" x14ac:dyDescent="0.2">
      <c r="A32" s="56" t="s">
        <v>597</v>
      </c>
      <c r="B32" s="106"/>
    </row>
    <row r="33" spans="1:2" x14ac:dyDescent="0.2">
      <c r="A33" s="26" t="s">
        <v>593</v>
      </c>
      <c r="B33" s="105">
        <v>0.15</v>
      </c>
    </row>
    <row r="34" spans="1:2" x14ac:dyDescent="0.2">
      <c r="A34" s="26" t="s">
        <v>594</v>
      </c>
      <c r="B34" s="105">
        <v>0.34</v>
      </c>
    </row>
    <row r="35" spans="1:2" x14ac:dyDescent="0.2">
      <c r="A35" s="26" t="s">
        <v>595</v>
      </c>
      <c r="B35" s="105">
        <v>0.11</v>
      </c>
    </row>
    <row r="36" spans="1:2" x14ac:dyDescent="0.2">
      <c r="A36" s="26" t="s">
        <v>596</v>
      </c>
      <c r="B36" s="105">
        <v>0.4</v>
      </c>
    </row>
    <row r="39" spans="1:2" x14ac:dyDescent="0.2">
      <c r="A39" s="62"/>
      <c r="B39" s="72" t="s">
        <v>696</v>
      </c>
    </row>
    <row r="40" spans="1:2" x14ac:dyDescent="0.2">
      <c r="A40" s="69"/>
      <c r="B40" s="72" t="s">
        <v>698</v>
      </c>
    </row>
    <row r="41" spans="1:2" x14ac:dyDescent="0.2">
      <c r="A41" s="59"/>
      <c r="B41" s="26" t="s">
        <v>697</v>
      </c>
    </row>
  </sheetData>
  <sheetProtection algorithmName="SHA-512" hashValue="IKjws827//ahNT3iM/HXO5GvFUtutUbGL+OvNJ85HuZu5Fs4wwlJVIwR1gUnEg95Bg4kAPmpXLaWw0I6wfPL2A==" saltValue="wkekHaDhZUqBPidxlI8D/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7D824-1743-43A7-BB24-3AF06D6065F6}">
  <dimension ref="A1:I29"/>
  <sheetViews>
    <sheetView tabSelected="1" topLeftCell="A10" workbookViewId="0">
      <selection activeCell="G24" sqref="G24"/>
    </sheetView>
  </sheetViews>
  <sheetFormatPr defaultRowHeight="15" x14ac:dyDescent="0.25"/>
  <cols>
    <col min="1" max="1" width="26.42578125" bestFit="1" customWidth="1"/>
    <col min="2" max="2" width="22.85546875" bestFit="1" customWidth="1"/>
    <col min="3" max="3" width="23.28515625" bestFit="1" customWidth="1"/>
    <col min="4" max="4" width="24.28515625" bestFit="1" customWidth="1"/>
    <col min="5" max="5" width="28.28515625" bestFit="1" customWidth="1"/>
    <col min="6" max="6" width="24.42578125" bestFit="1" customWidth="1"/>
    <col min="7" max="7" width="24.7109375" bestFit="1" customWidth="1"/>
    <col min="8" max="8" width="27.42578125" bestFit="1" customWidth="1"/>
    <col min="9" max="9" width="20.28515625" bestFit="1" customWidth="1"/>
  </cols>
  <sheetData>
    <row r="1" spans="1:9" x14ac:dyDescent="0.25">
      <c r="A1" s="1" t="s">
        <v>711</v>
      </c>
    </row>
    <row r="2" spans="1:9" x14ac:dyDescent="0.25">
      <c r="A2" s="38"/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38" t="s">
        <v>638</v>
      </c>
      <c r="B3" s="25" t="s">
        <v>648</v>
      </c>
      <c r="C3" s="25" t="s">
        <v>639</v>
      </c>
      <c r="D3" s="25" t="s">
        <v>640</v>
      </c>
      <c r="E3" s="25" t="s">
        <v>641</v>
      </c>
      <c r="F3" s="25" t="s">
        <v>652</v>
      </c>
      <c r="G3" s="25" t="s">
        <v>642</v>
      </c>
      <c r="H3" s="25" t="s">
        <v>658</v>
      </c>
      <c r="I3" s="108" t="s">
        <v>659</v>
      </c>
    </row>
    <row r="4" spans="1:9" x14ac:dyDescent="0.25">
      <c r="A4" s="26" t="s">
        <v>646</v>
      </c>
      <c r="B4" s="55" t="s">
        <v>644</v>
      </c>
      <c r="C4" s="55" t="s">
        <v>654</v>
      </c>
      <c r="D4" s="55" t="s">
        <v>645</v>
      </c>
      <c r="E4" s="117">
        <f>'Remaining Capacity'!B3</f>
        <v>1104</v>
      </c>
      <c r="F4" s="117">
        <f>E4-G4</f>
        <v>564</v>
      </c>
      <c r="G4" s="117">
        <f>'Remaining Capacity'!B9</f>
        <v>540</v>
      </c>
      <c r="H4" s="117">
        <f>G4*2.4</f>
        <v>1296</v>
      </c>
      <c r="I4" s="110">
        <f>((H4/1000)*8)</f>
        <v>10.368</v>
      </c>
    </row>
    <row r="5" spans="1:9" x14ac:dyDescent="0.25">
      <c r="A5" s="26" t="s">
        <v>643</v>
      </c>
      <c r="B5" s="55" t="s">
        <v>644</v>
      </c>
      <c r="C5" s="55" t="s">
        <v>655</v>
      </c>
      <c r="D5" s="55" t="s">
        <v>647</v>
      </c>
      <c r="E5" s="117">
        <f>'Remaining Capacity'!C3</f>
        <v>1021</v>
      </c>
      <c r="F5" s="117">
        <f>E5-G5</f>
        <v>172.25</v>
      </c>
      <c r="G5" s="117">
        <f>'Remaining Capacity'!C9</f>
        <v>848.75</v>
      </c>
      <c r="H5" s="117">
        <f t="shared" ref="H5:H13" si="0">G5*2.4</f>
        <v>2037</v>
      </c>
      <c r="I5" s="110">
        <f t="shared" ref="I5:I8" si="1">((H5/1000)*8)</f>
        <v>16.295999999999999</v>
      </c>
    </row>
    <row r="6" spans="1:9" x14ac:dyDescent="0.25">
      <c r="A6" s="38" t="s">
        <v>662</v>
      </c>
      <c r="B6" s="38"/>
      <c r="C6" s="25"/>
      <c r="D6" s="25"/>
      <c r="E6" s="120">
        <f>SUM(E4:E5)</f>
        <v>2125</v>
      </c>
      <c r="F6" s="120">
        <f>E6-G6</f>
        <v>736.25</v>
      </c>
      <c r="G6" s="120">
        <f>SUM(G4:G5)</f>
        <v>1388.75</v>
      </c>
      <c r="H6" s="120">
        <f t="shared" si="0"/>
        <v>3333</v>
      </c>
      <c r="I6" s="109">
        <f t="shared" si="1"/>
        <v>26.664000000000001</v>
      </c>
    </row>
    <row r="7" spans="1:9" x14ac:dyDescent="0.25">
      <c r="A7" s="38"/>
      <c r="B7" s="38"/>
      <c r="C7" s="25"/>
      <c r="D7" s="25"/>
      <c r="E7" s="120"/>
      <c r="F7" s="120"/>
      <c r="G7" s="120"/>
      <c r="H7" s="120"/>
      <c r="I7" s="109"/>
    </row>
    <row r="8" spans="1:9" x14ac:dyDescent="0.25">
      <c r="A8" s="26" t="s">
        <v>653</v>
      </c>
      <c r="B8" s="26"/>
      <c r="C8" s="55"/>
      <c r="D8" s="55"/>
      <c r="E8" s="117">
        <f>E6</f>
        <v>2125</v>
      </c>
      <c r="F8" s="117">
        <f>G6-G8</f>
        <v>742</v>
      </c>
      <c r="G8" s="117">
        <f>'Remaining Capacity'!B22</f>
        <v>646.75</v>
      </c>
      <c r="H8" s="117">
        <f>G8*2.4</f>
        <v>1552.2</v>
      </c>
      <c r="I8" s="110">
        <f t="shared" si="1"/>
        <v>12.4176</v>
      </c>
    </row>
    <row r="9" spans="1:9" x14ac:dyDescent="0.25">
      <c r="A9" s="38" t="s">
        <v>0</v>
      </c>
      <c r="B9" s="26"/>
      <c r="C9" s="55"/>
      <c r="D9" s="55"/>
      <c r="E9" s="120">
        <f>E8</f>
        <v>2125</v>
      </c>
      <c r="F9" s="120">
        <f>F6+F8</f>
        <v>1478.25</v>
      </c>
      <c r="G9" s="120">
        <f>G8</f>
        <v>646.75</v>
      </c>
      <c r="H9" s="120">
        <f>G9*2.4</f>
        <v>1552.2</v>
      </c>
      <c r="I9" s="109">
        <f>((H9/1000)*8)</f>
        <v>12.4176</v>
      </c>
    </row>
    <row r="10" spans="1:9" x14ac:dyDescent="0.25">
      <c r="A10" s="38"/>
      <c r="B10" s="26"/>
      <c r="C10" s="55"/>
      <c r="D10" s="55"/>
      <c r="E10" s="120"/>
      <c r="F10" s="120"/>
      <c r="G10" s="120"/>
      <c r="H10" s="120"/>
      <c r="I10" s="109"/>
    </row>
    <row r="11" spans="1:9" x14ac:dyDescent="0.25">
      <c r="A11" s="38"/>
      <c r="B11" s="26"/>
      <c r="C11" s="55"/>
      <c r="D11" s="55"/>
      <c r="E11" s="122"/>
      <c r="F11" s="117"/>
      <c r="G11" s="117"/>
      <c r="H11" s="117"/>
      <c r="I11" s="110"/>
    </row>
    <row r="12" spans="1:9" x14ac:dyDescent="0.25">
      <c r="B12" s="26"/>
      <c r="E12" s="122" t="s">
        <v>646</v>
      </c>
      <c r="F12" s="117">
        <f>E4-'Remaining Capacity'!B26</f>
        <v>935</v>
      </c>
      <c r="G12" s="117">
        <f>'Remaining Capacity'!B26</f>
        <v>169</v>
      </c>
      <c r="H12" s="117">
        <f>G12*2.4</f>
        <v>405.59999999999997</v>
      </c>
      <c r="I12" s="110">
        <f>((H12/1000)*8)</f>
        <v>3.2447999999999997</v>
      </c>
    </row>
    <row r="13" spans="1:9" x14ac:dyDescent="0.25">
      <c r="B13" s="26"/>
      <c r="E13" s="26" t="s">
        <v>643</v>
      </c>
      <c r="F13" s="117">
        <f>E5-'Remaining Capacity'!B27</f>
        <v>543.25</v>
      </c>
      <c r="G13" s="117">
        <f>'Remaining Capacity'!B27</f>
        <v>477.75</v>
      </c>
      <c r="H13" s="117">
        <f t="shared" si="0"/>
        <v>1146.5999999999999</v>
      </c>
      <c r="I13" s="110">
        <f>((H13/1000)*8)</f>
        <v>9.1727999999999987</v>
      </c>
    </row>
    <row r="14" spans="1:9" x14ac:dyDescent="0.25">
      <c r="B14" s="26"/>
      <c r="E14" s="130" t="s">
        <v>0</v>
      </c>
      <c r="F14" s="120">
        <f>SUM(F12:F13)</f>
        <v>1478.25</v>
      </c>
      <c r="G14" s="120">
        <f>SUM(G12:G13)</f>
        <v>646.75</v>
      </c>
      <c r="H14" s="120">
        <f>G14*2.4</f>
        <v>1552.2</v>
      </c>
      <c r="I14" s="109">
        <f>((H14/1000)*8)</f>
        <v>12.4176</v>
      </c>
    </row>
    <row r="15" spans="1:9" x14ac:dyDescent="0.25">
      <c r="A15" s="26" t="s">
        <v>651</v>
      </c>
      <c r="B15" s="26"/>
      <c r="C15" s="26"/>
      <c r="D15" s="26"/>
      <c r="E15" s="26"/>
      <c r="F15" s="26"/>
      <c r="G15" s="26"/>
      <c r="H15" s="26"/>
      <c r="I15" s="26"/>
    </row>
    <row r="16" spans="1:9" x14ac:dyDescent="0.25">
      <c r="A16" s="26" t="s">
        <v>650</v>
      </c>
      <c r="B16" s="26"/>
      <c r="C16" s="26"/>
      <c r="D16" s="26"/>
      <c r="E16" s="26"/>
      <c r="F16" s="26"/>
      <c r="G16" s="26"/>
      <c r="H16" s="26"/>
      <c r="I16" s="26"/>
    </row>
    <row r="17" spans="1:9" x14ac:dyDescent="0.25">
      <c r="A17" s="26" t="s">
        <v>649</v>
      </c>
      <c r="B17" s="26"/>
      <c r="C17" s="26"/>
      <c r="D17" s="26"/>
      <c r="E17" s="26"/>
      <c r="F17" s="26"/>
      <c r="G17" s="26"/>
      <c r="H17" s="26"/>
      <c r="I17" s="26"/>
    </row>
    <row r="18" spans="1:9" x14ac:dyDescent="0.25">
      <c r="A18" s="38"/>
      <c r="B18" s="110"/>
      <c r="C18" s="26"/>
      <c r="D18" s="26"/>
      <c r="E18" s="26"/>
      <c r="F18" s="26"/>
      <c r="G18" s="26"/>
      <c r="H18" s="26"/>
      <c r="I18" s="26"/>
    </row>
    <row r="19" spans="1:9" x14ac:dyDescent="0.25">
      <c r="A19" s="38" t="s">
        <v>621</v>
      </c>
      <c r="B19" s="25" t="s">
        <v>656</v>
      </c>
      <c r="C19" s="25" t="s">
        <v>657</v>
      </c>
      <c r="D19" s="25" t="s">
        <v>666</v>
      </c>
      <c r="E19" s="25"/>
      <c r="F19" s="26"/>
      <c r="G19" s="26"/>
      <c r="H19" s="26"/>
      <c r="I19" s="26"/>
    </row>
    <row r="20" spans="1:9" x14ac:dyDescent="0.25">
      <c r="A20" s="26" t="s">
        <v>622</v>
      </c>
      <c r="B20" s="117">
        <f>'NLP Mitigation by Timeframe'!G6+'NLP Mitigation by Timeframe'!G15</f>
        <v>211.6275</v>
      </c>
      <c r="C20" s="110">
        <f>'NLP Mitigation by Timeframe'!H6+'NLP Mitigation by Timeframe'!H15</f>
        <v>1.0883700000000001</v>
      </c>
      <c r="D20" s="110">
        <f>I9-C20</f>
        <v>11.329230000000001</v>
      </c>
      <c r="E20" s="26"/>
      <c r="F20" s="26"/>
      <c r="G20" s="26"/>
      <c r="H20" s="26"/>
      <c r="I20" s="26"/>
    </row>
    <row r="21" spans="1:9" x14ac:dyDescent="0.25">
      <c r="A21" s="26" t="s">
        <v>623</v>
      </c>
      <c r="B21" s="117">
        <f>'NLP Mitigation by Timeframe'!G7+'NLP Mitigation by Timeframe'!G16</f>
        <v>439.80100000000004</v>
      </c>
      <c r="C21" s="110">
        <f>'NLP Mitigation by Timeframe'!H7+'NLP Mitigation by Timeframe'!H16</f>
        <v>3.5184080000000004</v>
      </c>
      <c r="D21" s="110">
        <f>D20-C21</f>
        <v>7.8108219999999999</v>
      </c>
      <c r="E21" s="26"/>
      <c r="F21" s="26"/>
      <c r="G21" s="26"/>
      <c r="H21" s="26"/>
      <c r="I21" s="26"/>
    </row>
    <row r="22" spans="1:9" x14ac:dyDescent="0.25">
      <c r="A22" s="26" t="s">
        <v>624</v>
      </c>
      <c r="B22" s="117">
        <f>'NLP Mitigation by Timeframe'!G8+'NLP Mitigation by Timeframe'!G17</f>
        <v>1116.7570624999998</v>
      </c>
      <c r="C22" s="110">
        <f>'NLP Mitigation by Timeframe'!H8+'NLP Mitigation by Timeframe'!H17</f>
        <v>8.2523136249999975</v>
      </c>
      <c r="D22" s="110">
        <f>D21-C22</f>
        <v>-0.44149162499999761</v>
      </c>
      <c r="E22" s="26"/>
      <c r="F22" s="26"/>
      <c r="G22" s="26"/>
      <c r="H22" s="118"/>
      <c r="I22" s="26"/>
    </row>
    <row r="23" spans="1:9" x14ac:dyDescent="0.25">
      <c r="A23" s="38" t="s">
        <v>0</v>
      </c>
      <c r="B23" s="120">
        <f>SUM(B20:B22)</f>
        <v>1768.1855624999998</v>
      </c>
      <c r="C23" s="109">
        <f>SUM(C20:C22)</f>
        <v>12.859091624999998</v>
      </c>
      <c r="D23" s="109">
        <f>D22</f>
        <v>-0.44149162499999761</v>
      </c>
      <c r="E23" s="55"/>
      <c r="F23" s="26"/>
      <c r="G23" s="26"/>
      <c r="H23" s="26"/>
      <c r="I23" s="26"/>
    </row>
    <row r="25" spans="1:9" x14ac:dyDescent="0.25">
      <c r="A25" s="1"/>
      <c r="B25" s="1"/>
      <c r="C25" s="1"/>
      <c r="D25" s="1"/>
    </row>
    <row r="26" spans="1:9" x14ac:dyDescent="0.25">
      <c r="B26" s="103"/>
      <c r="C26" s="107"/>
      <c r="D26" s="110"/>
    </row>
    <row r="27" spans="1:9" x14ac:dyDescent="0.25">
      <c r="B27" s="117"/>
      <c r="C27" s="107"/>
      <c r="D27" s="110"/>
    </row>
    <row r="28" spans="1:9" x14ac:dyDescent="0.25">
      <c r="B28" s="117"/>
      <c r="C28" s="107"/>
      <c r="D28" s="110"/>
    </row>
    <row r="29" spans="1:9" x14ac:dyDescent="0.25">
      <c r="A29" s="1"/>
      <c r="B29" s="120"/>
      <c r="C29" s="109"/>
      <c r="D29" s="109"/>
    </row>
  </sheetData>
  <sheetProtection algorithmName="SHA-512" hashValue="la1WzioKjXmk6NldBoNzZYBqplDgXrhli1nyztix9yWWDZd3cZBcDYn286nXVmgtURSMX97iDcLdYE6jmenLfA==" saltValue="u/VKZJP033K6YoWRfjVapw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D0BB7-F2C4-4F2C-AE2D-21114C3AC612}">
  <dimension ref="A1:N161"/>
  <sheetViews>
    <sheetView topLeftCell="B1" workbookViewId="0">
      <selection activeCell="G164" sqref="G164"/>
    </sheetView>
  </sheetViews>
  <sheetFormatPr defaultRowHeight="12.75" x14ac:dyDescent="0.2"/>
  <cols>
    <col min="1" max="1" width="12.28515625" style="26" bestFit="1" customWidth="1"/>
    <col min="2" max="2" width="93.7109375" style="26" customWidth="1"/>
    <col min="3" max="3" width="20.5703125" style="26" bestFit="1" customWidth="1"/>
    <col min="4" max="4" width="9.85546875" style="26" customWidth="1"/>
    <col min="5" max="5" width="12.140625" style="26" customWidth="1"/>
    <col min="6" max="6" width="10.140625" style="26" customWidth="1"/>
    <col min="7" max="7" width="15.42578125" style="26" customWidth="1"/>
    <col min="8" max="8" width="18.28515625" style="26" customWidth="1"/>
    <col min="9" max="9" width="19.5703125" style="26" customWidth="1"/>
    <col min="10" max="11" width="20.140625" style="26" customWidth="1"/>
    <col min="12" max="12" width="24.85546875" style="26" bestFit="1" customWidth="1"/>
    <col min="13" max="13" width="28.140625" style="26" customWidth="1"/>
    <col min="14" max="14" width="43" style="26" bestFit="1" customWidth="1"/>
    <col min="15" max="15" width="17.42578125" style="26" bestFit="1" customWidth="1"/>
    <col min="16" max="16384" width="9.140625" style="26"/>
  </cols>
  <sheetData>
    <row r="1" spans="1:14" s="68" customFormat="1" x14ac:dyDescent="0.2">
      <c r="A1" s="2" t="s">
        <v>6</v>
      </c>
      <c r="B1" s="74" t="s">
        <v>7</v>
      </c>
      <c r="C1" s="2" t="s">
        <v>8</v>
      </c>
      <c r="D1" s="2" t="s">
        <v>80</v>
      </c>
      <c r="E1" s="2" t="s">
        <v>9</v>
      </c>
      <c r="F1" s="2" t="s">
        <v>10</v>
      </c>
      <c r="G1" s="2" t="s">
        <v>89</v>
      </c>
      <c r="H1" s="2" t="s">
        <v>476</v>
      </c>
      <c r="I1" s="2" t="s">
        <v>11</v>
      </c>
      <c r="J1" s="2" t="s">
        <v>90</v>
      </c>
      <c r="K1" s="2" t="s">
        <v>12</v>
      </c>
      <c r="L1" s="4" t="s">
        <v>13</v>
      </c>
      <c r="M1" s="4" t="s">
        <v>699</v>
      </c>
      <c r="N1" s="75" t="s">
        <v>14</v>
      </c>
    </row>
    <row r="2" spans="1:14" x14ac:dyDescent="0.2">
      <c r="A2" s="26" t="s">
        <v>171</v>
      </c>
      <c r="B2" s="26" t="s">
        <v>172</v>
      </c>
      <c r="E2" s="55">
        <v>1</v>
      </c>
      <c r="F2" s="55">
        <v>1</v>
      </c>
      <c r="G2" s="55" t="s">
        <v>87</v>
      </c>
      <c r="H2" s="55" t="s">
        <v>461</v>
      </c>
      <c r="I2" s="26" t="s">
        <v>85</v>
      </c>
      <c r="J2" s="26" t="s">
        <v>83</v>
      </c>
      <c r="K2" s="26" t="s">
        <v>92</v>
      </c>
      <c r="L2" s="55">
        <f>F2</f>
        <v>1</v>
      </c>
      <c r="M2" s="55">
        <f>L2*2.4</f>
        <v>2.4</v>
      </c>
    </row>
    <row r="3" spans="1:14" s="72" customFormat="1" x14ac:dyDescent="0.2">
      <c r="A3" s="72" t="s">
        <v>173</v>
      </c>
      <c r="B3" s="72" t="s">
        <v>174</v>
      </c>
      <c r="E3" s="73">
        <v>48</v>
      </c>
      <c r="F3" s="73">
        <v>48</v>
      </c>
      <c r="G3" s="73" t="s">
        <v>88</v>
      </c>
      <c r="H3" s="73" t="s">
        <v>461</v>
      </c>
      <c r="I3" s="72" t="s">
        <v>85</v>
      </c>
      <c r="J3" s="72" t="s">
        <v>82</v>
      </c>
      <c r="K3" s="72" t="s">
        <v>82</v>
      </c>
      <c r="L3" s="73">
        <f t="shared" ref="L3:L65" si="0">F3</f>
        <v>48</v>
      </c>
      <c r="M3" s="55">
        <f t="shared" ref="M3:M66" si="1">L3*2.4</f>
        <v>115.19999999999999</v>
      </c>
    </row>
    <row r="4" spans="1:14" s="72" customFormat="1" x14ac:dyDescent="0.2">
      <c r="A4" s="72" t="s">
        <v>175</v>
      </c>
      <c r="B4" s="72" t="s">
        <v>176</v>
      </c>
      <c r="E4" s="73">
        <v>1</v>
      </c>
      <c r="F4" s="73">
        <v>1</v>
      </c>
      <c r="G4" s="73" t="s">
        <v>87</v>
      </c>
      <c r="H4" s="73" t="s">
        <v>461</v>
      </c>
      <c r="I4" s="72" t="s">
        <v>85</v>
      </c>
      <c r="J4" s="72" t="s">
        <v>84</v>
      </c>
      <c r="K4" s="72" t="s">
        <v>92</v>
      </c>
      <c r="L4" s="73">
        <f t="shared" si="0"/>
        <v>1</v>
      </c>
      <c r="M4" s="55">
        <f t="shared" si="1"/>
        <v>2.4</v>
      </c>
    </row>
    <row r="5" spans="1:14" s="72" customFormat="1" x14ac:dyDescent="0.2">
      <c r="A5" s="72" t="s">
        <v>177</v>
      </c>
      <c r="B5" s="72" t="s">
        <v>178</v>
      </c>
      <c r="E5" s="73">
        <v>1</v>
      </c>
      <c r="F5" s="73">
        <v>1</v>
      </c>
      <c r="G5" s="73" t="s">
        <v>87</v>
      </c>
      <c r="H5" s="73" t="s">
        <v>461</v>
      </c>
      <c r="I5" s="72" t="s">
        <v>85</v>
      </c>
      <c r="J5" s="72" t="s">
        <v>83</v>
      </c>
      <c r="K5" s="72" t="s">
        <v>92</v>
      </c>
      <c r="L5" s="73">
        <f t="shared" si="0"/>
        <v>1</v>
      </c>
      <c r="M5" s="55">
        <f t="shared" si="1"/>
        <v>2.4</v>
      </c>
    </row>
    <row r="6" spans="1:14" s="72" customFormat="1" x14ac:dyDescent="0.2">
      <c r="A6" s="72" t="s">
        <v>179</v>
      </c>
      <c r="B6" s="72" t="s">
        <v>180</v>
      </c>
      <c r="E6" s="73">
        <v>27</v>
      </c>
      <c r="F6" s="73">
        <v>27</v>
      </c>
      <c r="G6" s="73" t="s">
        <v>88</v>
      </c>
      <c r="H6" s="73" t="s">
        <v>461</v>
      </c>
      <c r="I6" s="72" t="s">
        <v>85</v>
      </c>
      <c r="J6" s="72" t="s">
        <v>82</v>
      </c>
      <c r="K6" s="72" t="s">
        <v>82</v>
      </c>
      <c r="L6" s="73">
        <f t="shared" si="0"/>
        <v>27</v>
      </c>
      <c r="M6" s="55">
        <f t="shared" si="1"/>
        <v>64.8</v>
      </c>
    </row>
    <row r="7" spans="1:14" x14ac:dyDescent="0.2">
      <c r="A7" s="26" t="s">
        <v>181</v>
      </c>
      <c r="B7" s="26" t="s">
        <v>182</v>
      </c>
      <c r="E7" s="55">
        <v>4</v>
      </c>
      <c r="F7" s="55">
        <v>3</v>
      </c>
      <c r="G7" s="55" t="s">
        <v>87</v>
      </c>
      <c r="H7" s="55" t="s">
        <v>461</v>
      </c>
      <c r="I7" s="26" t="s">
        <v>85</v>
      </c>
      <c r="J7" s="26" t="s">
        <v>83</v>
      </c>
      <c r="K7" s="26" t="s">
        <v>92</v>
      </c>
      <c r="L7" s="55">
        <f t="shared" si="0"/>
        <v>3</v>
      </c>
      <c r="M7" s="55">
        <f t="shared" si="1"/>
        <v>7.1999999999999993</v>
      </c>
    </row>
    <row r="8" spans="1:14" x14ac:dyDescent="0.2">
      <c r="A8" s="26" t="s">
        <v>183</v>
      </c>
      <c r="B8" s="26" t="s">
        <v>184</v>
      </c>
      <c r="E8" s="55">
        <v>1</v>
      </c>
      <c r="F8" s="55">
        <v>1</v>
      </c>
      <c r="G8" s="55" t="s">
        <v>87</v>
      </c>
      <c r="H8" s="55" t="s">
        <v>461</v>
      </c>
      <c r="I8" s="26" t="s">
        <v>85</v>
      </c>
      <c r="J8" s="26" t="s">
        <v>82</v>
      </c>
      <c r="K8" s="26" t="s">
        <v>92</v>
      </c>
      <c r="L8" s="55">
        <f t="shared" si="0"/>
        <v>1</v>
      </c>
      <c r="M8" s="55">
        <f t="shared" si="1"/>
        <v>2.4</v>
      </c>
    </row>
    <row r="9" spans="1:14" x14ac:dyDescent="0.2">
      <c r="A9" s="26" t="s">
        <v>185</v>
      </c>
      <c r="B9" s="26" t="s">
        <v>186</v>
      </c>
      <c r="E9" s="55">
        <v>3</v>
      </c>
      <c r="F9" s="55">
        <v>2</v>
      </c>
      <c r="G9" s="55" t="s">
        <v>87</v>
      </c>
      <c r="H9" s="55" t="s">
        <v>461</v>
      </c>
      <c r="I9" s="26" t="s">
        <v>85</v>
      </c>
      <c r="J9" s="26" t="s">
        <v>83</v>
      </c>
      <c r="K9" s="26" t="s">
        <v>92</v>
      </c>
      <c r="L9" s="55">
        <f t="shared" si="0"/>
        <v>2</v>
      </c>
      <c r="M9" s="55">
        <f t="shared" si="1"/>
        <v>4.8</v>
      </c>
    </row>
    <row r="10" spans="1:14" x14ac:dyDescent="0.2">
      <c r="A10" s="26" t="s">
        <v>187</v>
      </c>
      <c r="B10" s="26" t="s">
        <v>188</v>
      </c>
      <c r="E10" s="55">
        <v>3</v>
      </c>
      <c r="F10" s="55">
        <v>1</v>
      </c>
      <c r="G10" s="55" t="s">
        <v>87</v>
      </c>
      <c r="H10" s="55" t="s">
        <v>461</v>
      </c>
      <c r="I10" s="26" t="s">
        <v>85</v>
      </c>
      <c r="J10" s="26" t="s">
        <v>84</v>
      </c>
      <c r="K10" s="26" t="s">
        <v>92</v>
      </c>
      <c r="L10" s="55">
        <f t="shared" si="0"/>
        <v>1</v>
      </c>
      <c r="M10" s="55">
        <f t="shared" si="1"/>
        <v>2.4</v>
      </c>
    </row>
    <row r="11" spans="1:14" x14ac:dyDescent="0.2">
      <c r="A11" s="26" t="s">
        <v>189</v>
      </c>
      <c r="B11" s="26" t="s">
        <v>190</v>
      </c>
      <c r="E11" s="55">
        <v>1</v>
      </c>
      <c r="F11" s="55">
        <v>1</v>
      </c>
      <c r="G11" s="55" t="s">
        <v>87</v>
      </c>
      <c r="H11" s="55" t="s">
        <v>461</v>
      </c>
      <c r="I11" s="26" t="s">
        <v>85</v>
      </c>
      <c r="J11" s="26" t="s">
        <v>82</v>
      </c>
      <c r="K11" s="26" t="s">
        <v>92</v>
      </c>
      <c r="L11" s="55">
        <f t="shared" si="0"/>
        <v>1</v>
      </c>
      <c r="M11" s="55">
        <f t="shared" si="1"/>
        <v>2.4</v>
      </c>
    </row>
    <row r="12" spans="1:14" x14ac:dyDescent="0.2">
      <c r="A12" s="26" t="s">
        <v>191</v>
      </c>
      <c r="B12" s="26" t="s">
        <v>192</v>
      </c>
      <c r="E12" s="55">
        <v>3</v>
      </c>
      <c r="F12" s="55">
        <v>3</v>
      </c>
      <c r="G12" s="55" t="s">
        <v>87</v>
      </c>
      <c r="H12" s="55" t="s">
        <v>461</v>
      </c>
      <c r="I12" s="26" t="s">
        <v>85</v>
      </c>
      <c r="J12" s="26" t="s">
        <v>83</v>
      </c>
      <c r="K12" s="26" t="s">
        <v>92</v>
      </c>
      <c r="L12" s="55">
        <f t="shared" si="0"/>
        <v>3</v>
      </c>
      <c r="M12" s="55">
        <f t="shared" si="1"/>
        <v>7.1999999999999993</v>
      </c>
    </row>
    <row r="13" spans="1:14" x14ac:dyDescent="0.2">
      <c r="A13" s="26" t="s">
        <v>193</v>
      </c>
      <c r="B13" s="26" t="s">
        <v>194</v>
      </c>
      <c r="E13" s="55">
        <v>2</v>
      </c>
      <c r="F13" s="55">
        <v>1</v>
      </c>
      <c r="G13" s="55" t="s">
        <v>87</v>
      </c>
      <c r="H13" s="55" t="s">
        <v>461</v>
      </c>
      <c r="I13" s="26" t="s">
        <v>85</v>
      </c>
      <c r="J13" s="26" t="s">
        <v>84</v>
      </c>
      <c r="K13" s="26" t="s">
        <v>92</v>
      </c>
      <c r="L13" s="55">
        <f t="shared" si="0"/>
        <v>1</v>
      </c>
      <c r="M13" s="55">
        <f t="shared" si="1"/>
        <v>2.4</v>
      </c>
    </row>
    <row r="14" spans="1:14" x14ac:dyDescent="0.2">
      <c r="A14" s="26" t="s">
        <v>195</v>
      </c>
      <c r="B14" s="26" t="s">
        <v>196</v>
      </c>
      <c r="E14" s="55">
        <v>4</v>
      </c>
      <c r="F14" s="55">
        <v>4</v>
      </c>
      <c r="G14" s="55" t="s">
        <v>87</v>
      </c>
      <c r="H14" s="55" t="s">
        <v>461</v>
      </c>
      <c r="I14" s="26" t="s">
        <v>85</v>
      </c>
      <c r="J14" s="26" t="s">
        <v>83</v>
      </c>
      <c r="K14" s="26" t="s">
        <v>92</v>
      </c>
      <c r="L14" s="55">
        <f t="shared" si="0"/>
        <v>4</v>
      </c>
      <c r="M14" s="55">
        <f t="shared" si="1"/>
        <v>9.6</v>
      </c>
    </row>
    <row r="15" spans="1:14" x14ac:dyDescent="0.2">
      <c r="A15" s="26" t="s">
        <v>197</v>
      </c>
      <c r="B15" s="26" t="s">
        <v>198</v>
      </c>
      <c r="E15" s="55">
        <v>1</v>
      </c>
      <c r="F15" s="55">
        <v>1</v>
      </c>
      <c r="G15" s="55" t="s">
        <v>87</v>
      </c>
      <c r="H15" s="55" t="s">
        <v>461</v>
      </c>
      <c r="I15" s="26" t="s">
        <v>85</v>
      </c>
      <c r="J15" s="26" t="s">
        <v>83</v>
      </c>
      <c r="K15" s="26" t="s">
        <v>92</v>
      </c>
      <c r="L15" s="55">
        <f t="shared" si="0"/>
        <v>1</v>
      </c>
      <c r="M15" s="55">
        <f t="shared" si="1"/>
        <v>2.4</v>
      </c>
    </row>
    <row r="16" spans="1:14" x14ac:dyDescent="0.2">
      <c r="A16" s="26" t="s">
        <v>199</v>
      </c>
      <c r="B16" s="26" t="s">
        <v>200</v>
      </c>
      <c r="E16" s="55">
        <v>1</v>
      </c>
      <c r="F16" s="55">
        <v>1</v>
      </c>
      <c r="G16" s="55" t="s">
        <v>87</v>
      </c>
      <c r="H16" s="55" t="s">
        <v>461</v>
      </c>
      <c r="I16" s="26" t="s">
        <v>85</v>
      </c>
      <c r="J16" s="26" t="s">
        <v>83</v>
      </c>
      <c r="K16" s="26" t="s">
        <v>92</v>
      </c>
      <c r="L16" s="55">
        <f t="shared" si="0"/>
        <v>1</v>
      </c>
      <c r="M16" s="55">
        <f t="shared" si="1"/>
        <v>2.4</v>
      </c>
    </row>
    <row r="17" spans="1:13" x14ac:dyDescent="0.2">
      <c r="A17" s="26" t="s">
        <v>201</v>
      </c>
      <c r="B17" s="26" t="s">
        <v>202</v>
      </c>
      <c r="E17" s="55">
        <v>4</v>
      </c>
      <c r="F17" s="55">
        <v>4</v>
      </c>
      <c r="G17" s="55" t="s">
        <v>87</v>
      </c>
      <c r="H17" s="55" t="s">
        <v>461</v>
      </c>
      <c r="I17" s="26" t="s">
        <v>85</v>
      </c>
      <c r="J17" s="26" t="s">
        <v>84</v>
      </c>
      <c r="K17" s="26" t="s">
        <v>92</v>
      </c>
      <c r="L17" s="55">
        <f t="shared" si="0"/>
        <v>4</v>
      </c>
      <c r="M17" s="55">
        <f t="shared" si="1"/>
        <v>9.6</v>
      </c>
    </row>
    <row r="18" spans="1:13" x14ac:dyDescent="0.2">
      <c r="A18" s="26" t="s">
        <v>203</v>
      </c>
      <c r="B18" s="26" t="s">
        <v>204</v>
      </c>
      <c r="E18" s="55">
        <v>1</v>
      </c>
      <c r="F18" s="55">
        <v>1</v>
      </c>
      <c r="G18" s="55" t="s">
        <v>87</v>
      </c>
      <c r="H18" s="55" t="s">
        <v>461</v>
      </c>
      <c r="I18" s="26" t="s">
        <v>85</v>
      </c>
      <c r="J18" s="26" t="s">
        <v>84</v>
      </c>
      <c r="K18" s="26" t="s">
        <v>92</v>
      </c>
      <c r="L18" s="55">
        <f t="shared" si="0"/>
        <v>1</v>
      </c>
      <c r="M18" s="55">
        <f t="shared" si="1"/>
        <v>2.4</v>
      </c>
    </row>
    <row r="19" spans="1:13" x14ac:dyDescent="0.2">
      <c r="A19" s="26" t="s">
        <v>205</v>
      </c>
      <c r="B19" s="26" t="s">
        <v>206</v>
      </c>
      <c r="E19" s="55">
        <v>2</v>
      </c>
      <c r="F19" s="55">
        <v>1</v>
      </c>
      <c r="G19" s="55" t="s">
        <v>87</v>
      </c>
      <c r="H19" s="55" t="s">
        <v>461</v>
      </c>
      <c r="I19" s="26" t="s">
        <v>85</v>
      </c>
      <c r="J19" s="26" t="s">
        <v>84</v>
      </c>
      <c r="K19" s="26" t="s">
        <v>92</v>
      </c>
      <c r="L19" s="55">
        <f t="shared" si="0"/>
        <v>1</v>
      </c>
      <c r="M19" s="55">
        <f t="shared" si="1"/>
        <v>2.4</v>
      </c>
    </row>
    <row r="20" spans="1:13" x14ac:dyDescent="0.2">
      <c r="A20" s="26" t="s">
        <v>207</v>
      </c>
      <c r="B20" s="26" t="s">
        <v>208</v>
      </c>
      <c r="E20" s="55">
        <v>2</v>
      </c>
      <c r="F20" s="55">
        <v>1</v>
      </c>
      <c r="G20" s="55" t="s">
        <v>87</v>
      </c>
      <c r="H20" s="55" t="s">
        <v>461</v>
      </c>
      <c r="I20" s="26" t="s">
        <v>85</v>
      </c>
      <c r="J20" s="26" t="s">
        <v>83</v>
      </c>
      <c r="K20" s="26" t="s">
        <v>92</v>
      </c>
      <c r="L20" s="55">
        <f t="shared" si="0"/>
        <v>1</v>
      </c>
      <c r="M20" s="55">
        <f t="shared" si="1"/>
        <v>2.4</v>
      </c>
    </row>
    <row r="21" spans="1:13" x14ac:dyDescent="0.2">
      <c r="A21" s="26" t="s">
        <v>209</v>
      </c>
      <c r="B21" s="26" t="s">
        <v>210</v>
      </c>
      <c r="E21" s="55">
        <v>2</v>
      </c>
      <c r="F21" s="55">
        <v>1</v>
      </c>
      <c r="G21" s="55" t="s">
        <v>87</v>
      </c>
      <c r="H21" s="55" t="s">
        <v>461</v>
      </c>
      <c r="I21" s="26" t="s">
        <v>85</v>
      </c>
      <c r="J21" s="26" t="s">
        <v>82</v>
      </c>
      <c r="K21" s="26" t="s">
        <v>92</v>
      </c>
      <c r="L21" s="55">
        <f t="shared" si="0"/>
        <v>1</v>
      </c>
      <c r="M21" s="55">
        <f t="shared" si="1"/>
        <v>2.4</v>
      </c>
    </row>
    <row r="22" spans="1:13" x14ac:dyDescent="0.2">
      <c r="A22" s="26" t="s">
        <v>211</v>
      </c>
      <c r="B22" s="26" t="s">
        <v>212</v>
      </c>
      <c r="E22" s="55">
        <v>2</v>
      </c>
      <c r="F22" s="55">
        <v>1</v>
      </c>
      <c r="G22" s="55" t="s">
        <v>87</v>
      </c>
      <c r="H22" s="55" t="s">
        <v>461</v>
      </c>
      <c r="I22" s="26" t="s">
        <v>85</v>
      </c>
      <c r="J22" s="26" t="s">
        <v>84</v>
      </c>
      <c r="K22" s="26" t="s">
        <v>92</v>
      </c>
      <c r="L22" s="55">
        <f t="shared" si="0"/>
        <v>1</v>
      </c>
      <c r="M22" s="55">
        <f t="shared" si="1"/>
        <v>2.4</v>
      </c>
    </row>
    <row r="23" spans="1:13" x14ac:dyDescent="0.2">
      <c r="A23" s="26" t="s">
        <v>213</v>
      </c>
      <c r="B23" s="26" t="s">
        <v>214</v>
      </c>
      <c r="E23" s="55">
        <v>1</v>
      </c>
      <c r="F23" s="55">
        <v>1</v>
      </c>
      <c r="G23" s="55" t="s">
        <v>87</v>
      </c>
      <c r="H23" s="55" t="s">
        <v>461</v>
      </c>
      <c r="I23" s="26" t="s">
        <v>85</v>
      </c>
      <c r="J23" s="26" t="s">
        <v>83</v>
      </c>
      <c r="K23" s="26" t="s">
        <v>92</v>
      </c>
      <c r="L23" s="55">
        <f t="shared" si="0"/>
        <v>1</v>
      </c>
      <c r="M23" s="55">
        <f t="shared" si="1"/>
        <v>2.4</v>
      </c>
    </row>
    <row r="24" spans="1:13" x14ac:dyDescent="0.2">
      <c r="A24" s="26" t="s">
        <v>215</v>
      </c>
      <c r="B24" s="26" t="s">
        <v>216</v>
      </c>
      <c r="E24" s="55">
        <v>2</v>
      </c>
      <c r="F24" s="55">
        <v>1</v>
      </c>
      <c r="G24" s="55" t="s">
        <v>87</v>
      </c>
      <c r="H24" s="55" t="s">
        <v>461</v>
      </c>
      <c r="I24" s="26" t="s">
        <v>85</v>
      </c>
      <c r="J24" s="26" t="s">
        <v>84</v>
      </c>
      <c r="K24" s="26" t="s">
        <v>92</v>
      </c>
      <c r="L24" s="55">
        <f t="shared" si="0"/>
        <v>1</v>
      </c>
      <c r="M24" s="55">
        <f t="shared" si="1"/>
        <v>2.4</v>
      </c>
    </row>
    <row r="25" spans="1:13" x14ac:dyDescent="0.2">
      <c r="A25" s="26" t="s">
        <v>217</v>
      </c>
      <c r="B25" s="26" t="s">
        <v>218</v>
      </c>
      <c r="E25" s="55">
        <v>2</v>
      </c>
      <c r="F25" s="55">
        <v>1</v>
      </c>
      <c r="G25" s="55" t="s">
        <v>87</v>
      </c>
      <c r="H25" s="55" t="s">
        <v>461</v>
      </c>
      <c r="I25" s="26" t="s">
        <v>85</v>
      </c>
      <c r="J25" s="26" t="s">
        <v>83</v>
      </c>
      <c r="K25" s="26" t="s">
        <v>92</v>
      </c>
      <c r="L25" s="55">
        <f t="shared" si="0"/>
        <v>1</v>
      </c>
      <c r="M25" s="55">
        <f t="shared" si="1"/>
        <v>2.4</v>
      </c>
    </row>
    <row r="26" spans="1:13" x14ac:dyDescent="0.2">
      <c r="A26" s="26" t="s">
        <v>219</v>
      </c>
      <c r="B26" s="26" t="s">
        <v>220</v>
      </c>
      <c r="E26" s="55">
        <v>3</v>
      </c>
      <c r="F26" s="55">
        <v>2</v>
      </c>
      <c r="G26" s="55" t="s">
        <v>87</v>
      </c>
      <c r="H26" s="55" t="s">
        <v>461</v>
      </c>
      <c r="I26" s="26" t="s">
        <v>85</v>
      </c>
      <c r="J26" s="26" t="s">
        <v>84</v>
      </c>
      <c r="K26" s="26" t="s">
        <v>92</v>
      </c>
      <c r="L26" s="55">
        <f t="shared" si="0"/>
        <v>2</v>
      </c>
      <c r="M26" s="55">
        <f t="shared" si="1"/>
        <v>4.8</v>
      </c>
    </row>
    <row r="27" spans="1:13" x14ac:dyDescent="0.2">
      <c r="A27" s="26" t="s">
        <v>221</v>
      </c>
      <c r="B27" s="26" t="s">
        <v>222</v>
      </c>
      <c r="E27" s="55">
        <v>1</v>
      </c>
      <c r="F27" s="55">
        <v>1</v>
      </c>
      <c r="G27" s="55" t="s">
        <v>87</v>
      </c>
      <c r="H27" s="55" t="s">
        <v>461</v>
      </c>
      <c r="I27" s="26" t="s">
        <v>85</v>
      </c>
      <c r="J27" s="26" t="s">
        <v>83</v>
      </c>
      <c r="K27" s="26" t="s">
        <v>92</v>
      </c>
      <c r="L27" s="55">
        <f t="shared" si="0"/>
        <v>1</v>
      </c>
      <c r="M27" s="55">
        <f t="shared" si="1"/>
        <v>2.4</v>
      </c>
    </row>
    <row r="28" spans="1:13" x14ac:dyDescent="0.2">
      <c r="A28" s="26" t="s">
        <v>223</v>
      </c>
      <c r="B28" s="26" t="s">
        <v>224</v>
      </c>
      <c r="E28" s="55">
        <v>2</v>
      </c>
      <c r="F28" s="55">
        <v>1</v>
      </c>
      <c r="G28" s="55" t="s">
        <v>87</v>
      </c>
      <c r="H28" s="55" t="s">
        <v>461</v>
      </c>
      <c r="I28" s="26" t="s">
        <v>85</v>
      </c>
      <c r="J28" s="26" t="s">
        <v>83</v>
      </c>
      <c r="K28" s="26" t="s">
        <v>92</v>
      </c>
      <c r="L28" s="55">
        <f t="shared" si="0"/>
        <v>1</v>
      </c>
      <c r="M28" s="55">
        <f t="shared" si="1"/>
        <v>2.4</v>
      </c>
    </row>
    <row r="29" spans="1:13" x14ac:dyDescent="0.2">
      <c r="A29" s="26" t="s">
        <v>225</v>
      </c>
      <c r="B29" s="26" t="s">
        <v>226</v>
      </c>
      <c r="E29" s="55">
        <v>6</v>
      </c>
      <c r="F29" s="55">
        <v>6</v>
      </c>
      <c r="G29" s="55" t="s">
        <v>87</v>
      </c>
      <c r="H29" s="55" t="s">
        <v>461</v>
      </c>
      <c r="I29" s="26" t="s">
        <v>85</v>
      </c>
      <c r="J29" s="26" t="s">
        <v>83</v>
      </c>
      <c r="K29" s="26" t="s">
        <v>92</v>
      </c>
      <c r="L29" s="55">
        <f t="shared" si="0"/>
        <v>6</v>
      </c>
      <c r="M29" s="55">
        <f t="shared" si="1"/>
        <v>14.399999999999999</v>
      </c>
    </row>
    <row r="30" spans="1:13" x14ac:dyDescent="0.2">
      <c r="A30" s="26" t="s">
        <v>227</v>
      </c>
      <c r="B30" s="26" t="s">
        <v>228</v>
      </c>
      <c r="E30" s="55">
        <v>2</v>
      </c>
      <c r="F30" s="55">
        <v>1</v>
      </c>
      <c r="G30" s="55" t="s">
        <v>87</v>
      </c>
      <c r="H30" s="55" t="s">
        <v>461</v>
      </c>
      <c r="I30" s="26" t="s">
        <v>85</v>
      </c>
      <c r="J30" s="26" t="s">
        <v>84</v>
      </c>
      <c r="K30" s="26" t="s">
        <v>92</v>
      </c>
      <c r="L30" s="55">
        <f t="shared" si="0"/>
        <v>1</v>
      </c>
      <c r="M30" s="55">
        <f t="shared" si="1"/>
        <v>2.4</v>
      </c>
    </row>
    <row r="31" spans="1:13" x14ac:dyDescent="0.2">
      <c r="A31" s="26" t="s">
        <v>229</v>
      </c>
      <c r="B31" s="26" t="s">
        <v>230</v>
      </c>
      <c r="E31" s="55">
        <v>2</v>
      </c>
      <c r="F31" s="55">
        <v>1</v>
      </c>
      <c r="G31" s="55" t="s">
        <v>87</v>
      </c>
      <c r="H31" s="55" t="s">
        <v>461</v>
      </c>
      <c r="I31" s="26" t="s">
        <v>85</v>
      </c>
      <c r="J31" s="26" t="s">
        <v>83</v>
      </c>
      <c r="K31" s="26" t="s">
        <v>92</v>
      </c>
      <c r="L31" s="55">
        <f t="shared" si="0"/>
        <v>1</v>
      </c>
      <c r="M31" s="55">
        <f t="shared" si="1"/>
        <v>2.4</v>
      </c>
    </row>
    <row r="32" spans="1:13" x14ac:dyDescent="0.2">
      <c r="A32" s="26" t="s">
        <v>231</v>
      </c>
      <c r="B32" s="26" t="s">
        <v>232</v>
      </c>
      <c r="E32" s="55">
        <v>1</v>
      </c>
      <c r="F32" s="55">
        <v>1</v>
      </c>
      <c r="G32" s="55" t="s">
        <v>87</v>
      </c>
      <c r="H32" s="55" t="s">
        <v>461</v>
      </c>
      <c r="I32" s="26" t="s">
        <v>85</v>
      </c>
      <c r="J32" s="26" t="s">
        <v>83</v>
      </c>
      <c r="K32" s="26" t="s">
        <v>92</v>
      </c>
      <c r="L32" s="55">
        <f t="shared" si="0"/>
        <v>1</v>
      </c>
      <c r="M32" s="55">
        <f t="shared" si="1"/>
        <v>2.4</v>
      </c>
    </row>
    <row r="33" spans="1:13" x14ac:dyDescent="0.2">
      <c r="A33" s="26" t="s">
        <v>233</v>
      </c>
      <c r="B33" s="26" t="s">
        <v>234</v>
      </c>
      <c r="E33" s="55">
        <v>3</v>
      </c>
      <c r="F33" s="55">
        <v>3</v>
      </c>
      <c r="G33" s="55" t="s">
        <v>87</v>
      </c>
      <c r="H33" s="55" t="s">
        <v>461</v>
      </c>
      <c r="I33" s="26" t="s">
        <v>85</v>
      </c>
      <c r="J33" s="26" t="s">
        <v>83</v>
      </c>
      <c r="K33" s="26" t="s">
        <v>92</v>
      </c>
      <c r="L33" s="55">
        <f t="shared" si="0"/>
        <v>3</v>
      </c>
      <c r="M33" s="55">
        <f t="shared" si="1"/>
        <v>7.1999999999999993</v>
      </c>
    </row>
    <row r="34" spans="1:13" x14ac:dyDescent="0.2">
      <c r="A34" s="26" t="s">
        <v>235</v>
      </c>
      <c r="B34" s="26" t="s">
        <v>236</v>
      </c>
      <c r="E34" s="55">
        <v>4</v>
      </c>
      <c r="F34" s="55">
        <v>3</v>
      </c>
      <c r="G34" s="55" t="s">
        <v>87</v>
      </c>
      <c r="H34" s="55" t="s">
        <v>461</v>
      </c>
      <c r="I34" s="26" t="s">
        <v>85</v>
      </c>
      <c r="J34" s="26" t="s">
        <v>83</v>
      </c>
      <c r="K34" s="26" t="s">
        <v>92</v>
      </c>
      <c r="L34" s="55">
        <f t="shared" si="0"/>
        <v>3</v>
      </c>
      <c r="M34" s="55">
        <f t="shared" si="1"/>
        <v>7.1999999999999993</v>
      </c>
    </row>
    <row r="35" spans="1:13" x14ac:dyDescent="0.2">
      <c r="A35" s="26" t="s">
        <v>237</v>
      </c>
      <c r="B35" s="26" t="s">
        <v>238</v>
      </c>
      <c r="E35" s="55">
        <v>2</v>
      </c>
      <c r="F35" s="55">
        <v>1</v>
      </c>
      <c r="G35" s="55" t="s">
        <v>87</v>
      </c>
      <c r="H35" s="55" t="s">
        <v>461</v>
      </c>
      <c r="I35" s="26" t="s">
        <v>85</v>
      </c>
      <c r="J35" s="26" t="s">
        <v>84</v>
      </c>
      <c r="K35" s="26" t="s">
        <v>92</v>
      </c>
      <c r="L35" s="55">
        <f t="shared" si="0"/>
        <v>1</v>
      </c>
      <c r="M35" s="55">
        <f t="shared" si="1"/>
        <v>2.4</v>
      </c>
    </row>
    <row r="36" spans="1:13" x14ac:dyDescent="0.2">
      <c r="A36" s="26" t="s">
        <v>239</v>
      </c>
      <c r="B36" s="26" t="s">
        <v>240</v>
      </c>
      <c r="E36" s="55">
        <v>3</v>
      </c>
      <c r="F36" s="55">
        <v>3</v>
      </c>
      <c r="G36" s="55" t="s">
        <v>87</v>
      </c>
      <c r="H36" s="55" t="s">
        <v>461</v>
      </c>
      <c r="I36" s="26" t="s">
        <v>85</v>
      </c>
      <c r="J36" s="26" t="s">
        <v>82</v>
      </c>
      <c r="K36" s="26" t="s">
        <v>92</v>
      </c>
      <c r="L36" s="55">
        <f t="shared" si="0"/>
        <v>3</v>
      </c>
      <c r="M36" s="55">
        <f t="shared" si="1"/>
        <v>7.1999999999999993</v>
      </c>
    </row>
    <row r="37" spans="1:13" x14ac:dyDescent="0.2">
      <c r="A37" s="26" t="s">
        <v>241</v>
      </c>
      <c r="B37" s="26" t="s">
        <v>242</v>
      </c>
      <c r="E37" s="55">
        <v>9</v>
      </c>
      <c r="F37" s="55">
        <v>3</v>
      </c>
      <c r="G37" s="55" t="s">
        <v>87</v>
      </c>
      <c r="H37" s="55" t="s">
        <v>461</v>
      </c>
      <c r="I37" s="26" t="s">
        <v>85</v>
      </c>
      <c r="J37" s="26" t="s">
        <v>82</v>
      </c>
      <c r="K37" s="26" t="s">
        <v>92</v>
      </c>
      <c r="L37" s="55">
        <f t="shared" si="0"/>
        <v>3</v>
      </c>
      <c r="M37" s="55">
        <f t="shared" si="1"/>
        <v>7.1999999999999993</v>
      </c>
    </row>
    <row r="38" spans="1:13" x14ac:dyDescent="0.2">
      <c r="A38" s="26" t="s">
        <v>243</v>
      </c>
      <c r="B38" s="26" t="s">
        <v>244</v>
      </c>
      <c r="E38" s="55">
        <v>1</v>
      </c>
      <c r="F38" s="55">
        <v>1</v>
      </c>
      <c r="G38" s="55" t="s">
        <v>87</v>
      </c>
      <c r="H38" s="55" t="s">
        <v>461</v>
      </c>
      <c r="I38" s="26" t="s">
        <v>85</v>
      </c>
      <c r="J38" s="26" t="s">
        <v>82</v>
      </c>
      <c r="K38" s="26" t="s">
        <v>92</v>
      </c>
      <c r="L38" s="55">
        <f t="shared" si="0"/>
        <v>1</v>
      </c>
      <c r="M38" s="55">
        <f t="shared" si="1"/>
        <v>2.4</v>
      </c>
    </row>
    <row r="39" spans="1:13" x14ac:dyDescent="0.2">
      <c r="A39" s="26" t="s">
        <v>245</v>
      </c>
      <c r="B39" s="26" t="s">
        <v>246</v>
      </c>
      <c r="E39" s="55">
        <v>2</v>
      </c>
      <c r="F39" s="55">
        <v>1</v>
      </c>
      <c r="G39" s="55" t="s">
        <v>87</v>
      </c>
      <c r="H39" s="55" t="s">
        <v>461</v>
      </c>
      <c r="I39" s="26" t="s">
        <v>85</v>
      </c>
      <c r="J39" s="26" t="s">
        <v>84</v>
      </c>
      <c r="K39" s="26" t="s">
        <v>92</v>
      </c>
      <c r="L39" s="55">
        <f t="shared" si="0"/>
        <v>1</v>
      </c>
      <c r="M39" s="55">
        <f t="shared" si="1"/>
        <v>2.4</v>
      </c>
    </row>
    <row r="40" spans="1:13" x14ac:dyDescent="0.2">
      <c r="A40" s="26" t="s">
        <v>247</v>
      </c>
      <c r="B40" s="26" t="s">
        <v>248</v>
      </c>
      <c r="E40" s="55">
        <v>3</v>
      </c>
      <c r="F40" s="55">
        <v>2</v>
      </c>
      <c r="G40" s="55" t="s">
        <v>87</v>
      </c>
      <c r="H40" s="55" t="s">
        <v>461</v>
      </c>
      <c r="I40" s="26" t="s">
        <v>85</v>
      </c>
      <c r="J40" s="26" t="s">
        <v>84</v>
      </c>
      <c r="K40" s="26" t="s">
        <v>92</v>
      </c>
      <c r="L40" s="55">
        <f t="shared" si="0"/>
        <v>2</v>
      </c>
      <c r="M40" s="55">
        <f t="shared" si="1"/>
        <v>4.8</v>
      </c>
    </row>
    <row r="41" spans="1:13" x14ac:dyDescent="0.2">
      <c r="A41" s="26" t="s">
        <v>249</v>
      </c>
      <c r="B41" s="26" t="s">
        <v>250</v>
      </c>
      <c r="E41" s="55">
        <v>2</v>
      </c>
      <c r="F41" s="55">
        <v>1</v>
      </c>
      <c r="G41" s="55" t="s">
        <v>87</v>
      </c>
      <c r="H41" s="55" t="s">
        <v>461</v>
      </c>
      <c r="I41" s="26" t="s">
        <v>85</v>
      </c>
      <c r="J41" s="26" t="s">
        <v>82</v>
      </c>
      <c r="K41" s="26" t="s">
        <v>92</v>
      </c>
      <c r="L41" s="55">
        <f t="shared" si="0"/>
        <v>1</v>
      </c>
      <c r="M41" s="55">
        <f t="shared" si="1"/>
        <v>2.4</v>
      </c>
    </row>
    <row r="42" spans="1:13" x14ac:dyDescent="0.2">
      <c r="A42" s="26" t="s">
        <v>251</v>
      </c>
      <c r="B42" s="26" t="s">
        <v>252</v>
      </c>
      <c r="E42" s="55">
        <v>3</v>
      </c>
      <c r="F42" s="55">
        <v>3</v>
      </c>
      <c r="G42" s="55" t="s">
        <v>87</v>
      </c>
      <c r="H42" s="55" t="s">
        <v>461</v>
      </c>
      <c r="I42" s="26" t="s">
        <v>85</v>
      </c>
      <c r="J42" s="26" t="s">
        <v>83</v>
      </c>
      <c r="K42" s="26" t="s">
        <v>92</v>
      </c>
      <c r="L42" s="55">
        <f t="shared" si="0"/>
        <v>3</v>
      </c>
      <c r="M42" s="55">
        <f t="shared" si="1"/>
        <v>7.1999999999999993</v>
      </c>
    </row>
    <row r="43" spans="1:13" x14ac:dyDescent="0.2">
      <c r="A43" s="26" t="s">
        <v>253</v>
      </c>
      <c r="B43" s="26" t="s">
        <v>254</v>
      </c>
      <c r="E43" s="55">
        <v>21</v>
      </c>
      <c r="F43" s="55">
        <v>5</v>
      </c>
      <c r="G43" s="55" t="s">
        <v>87</v>
      </c>
      <c r="H43" s="55" t="s">
        <v>461</v>
      </c>
      <c r="I43" s="26" t="s">
        <v>85</v>
      </c>
      <c r="J43" s="26" t="s">
        <v>83</v>
      </c>
      <c r="K43" s="26" t="s">
        <v>92</v>
      </c>
      <c r="L43" s="55">
        <f t="shared" si="0"/>
        <v>5</v>
      </c>
      <c r="M43" s="55">
        <f t="shared" si="1"/>
        <v>12</v>
      </c>
    </row>
    <row r="44" spans="1:13" x14ac:dyDescent="0.2">
      <c r="A44" s="26" t="s">
        <v>255</v>
      </c>
      <c r="B44" s="26" t="s">
        <v>256</v>
      </c>
      <c r="E44" s="55">
        <v>1</v>
      </c>
      <c r="F44" s="55">
        <v>1</v>
      </c>
      <c r="G44" s="55" t="s">
        <v>87</v>
      </c>
      <c r="H44" s="55" t="s">
        <v>461</v>
      </c>
      <c r="I44" s="26" t="s">
        <v>85</v>
      </c>
      <c r="J44" s="26" t="s">
        <v>84</v>
      </c>
      <c r="K44" s="26" t="s">
        <v>92</v>
      </c>
      <c r="L44" s="55">
        <f t="shared" si="0"/>
        <v>1</v>
      </c>
      <c r="M44" s="55">
        <f t="shared" si="1"/>
        <v>2.4</v>
      </c>
    </row>
    <row r="45" spans="1:13" x14ac:dyDescent="0.2">
      <c r="A45" s="26" t="s">
        <v>257</v>
      </c>
      <c r="B45" s="26" t="s">
        <v>258</v>
      </c>
      <c r="E45" s="55">
        <v>1</v>
      </c>
      <c r="F45" s="55">
        <v>1</v>
      </c>
      <c r="G45" s="55" t="s">
        <v>87</v>
      </c>
      <c r="H45" s="55" t="s">
        <v>461</v>
      </c>
      <c r="I45" s="26" t="s">
        <v>85</v>
      </c>
      <c r="J45" s="26" t="s">
        <v>83</v>
      </c>
      <c r="K45" s="26" t="s">
        <v>92</v>
      </c>
      <c r="L45" s="55">
        <f t="shared" si="0"/>
        <v>1</v>
      </c>
      <c r="M45" s="55">
        <f t="shared" si="1"/>
        <v>2.4</v>
      </c>
    </row>
    <row r="46" spans="1:13" s="72" customFormat="1" x14ac:dyDescent="0.2">
      <c r="A46" s="72" t="s">
        <v>259</v>
      </c>
      <c r="B46" s="72" t="s">
        <v>260</v>
      </c>
      <c r="C46" s="73"/>
      <c r="D46" s="73"/>
      <c r="E46" s="73">
        <v>13</v>
      </c>
      <c r="F46" s="73">
        <v>13</v>
      </c>
      <c r="G46" s="73" t="s">
        <v>88</v>
      </c>
      <c r="H46" s="73" t="s">
        <v>461</v>
      </c>
      <c r="I46" s="72" t="s">
        <v>85</v>
      </c>
      <c r="J46" s="72" t="s">
        <v>83</v>
      </c>
      <c r="K46" s="72" t="s">
        <v>92</v>
      </c>
      <c r="L46" s="73">
        <f t="shared" si="0"/>
        <v>13</v>
      </c>
      <c r="M46" s="55">
        <f t="shared" si="1"/>
        <v>31.2</v>
      </c>
    </row>
    <row r="47" spans="1:13" x14ac:dyDescent="0.2">
      <c r="A47" s="26" t="s">
        <v>261</v>
      </c>
      <c r="B47" s="26" t="s">
        <v>262</v>
      </c>
      <c r="E47" s="55">
        <v>1</v>
      </c>
      <c r="F47" s="55">
        <v>1</v>
      </c>
      <c r="G47" s="55" t="s">
        <v>87</v>
      </c>
      <c r="H47" s="55" t="s">
        <v>461</v>
      </c>
      <c r="I47" s="26" t="s">
        <v>85</v>
      </c>
      <c r="J47" s="26" t="s">
        <v>84</v>
      </c>
      <c r="K47" s="26" t="s">
        <v>92</v>
      </c>
      <c r="L47" s="55">
        <f t="shared" si="0"/>
        <v>1</v>
      </c>
      <c r="M47" s="55">
        <f t="shared" si="1"/>
        <v>2.4</v>
      </c>
    </row>
    <row r="48" spans="1:13" x14ac:dyDescent="0.2">
      <c r="A48" s="26" t="s">
        <v>263</v>
      </c>
      <c r="B48" s="26" t="s">
        <v>264</v>
      </c>
      <c r="E48" s="55">
        <v>2</v>
      </c>
      <c r="F48" s="55">
        <v>1</v>
      </c>
      <c r="G48" s="55" t="s">
        <v>87</v>
      </c>
      <c r="H48" s="55" t="s">
        <v>461</v>
      </c>
      <c r="I48" s="26" t="s">
        <v>85</v>
      </c>
      <c r="J48" s="26" t="s">
        <v>84</v>
      </c>
      <c r="K48" s="26" t="s">
        <v>92</v>
      </c>
      <c r="L48" s="55">
        <f t="shared" si="0"/>
        <v>1</v>
      </c>
      <c r="M48" s="55">
        <f t="shared" si="1"/>
        <v>2.4</v>
      </c>
    </row>
    <row r="49" spans="1:14" x14ac:dyDescent="0.2">
      <c r="A49" s="26" t="s">
        <v>265</v>
      </c>
      <c r="B49" s="26" t="s">
        <v>266</v>
      </c>
      <c r="E49" s="55">
        <v>3</v>
      </c>
      <c r="F49" s="55">
        <v>2</v>
      </c>
      <c r="G49" s="55" t="s">
        <v>87</v>
      </c>
      <c r="H49" s="55" t="s">
        <v>461</v>
      </c>
      <c r="I49" s="26" t="s">
        <v>85</v>
      </c>
      <c r="J49" s="26" t="s">
        <v>83</v>
      </c>
      <c r="K49" s="26" t="s">
        <v>92</v>
      </c>
      <c r="L49" s="55">
        <f t="shared" si="0"/>
        <v>2</v>
      </c>
      <c r="M49" s="55">
        <f t="shared" si="1"/>
        <v>4.8</v>
      </c>
    </row>
    <row r="50" spans="1:14" x14ac:dyDescent="0.2">
      <c r="A50" s="26" t="s">
        <v>267</v>
      </c>
      <c r="B50" s="26" t="s">
        <v>268</v>
      </c>
      <c r="E50" s="55">
        <v>2</v>
      </c>
      <c r="F50" s="55">
        <v>1</v>
      </c>
      <c r="G50" s="55" t="s">
        <v>87</v>
      </c>
      <c r="H50" s="55" t="s">
        <v>461</v>
      </c>
      <c r="I50" s="26" t="s">
        <v>85</v>
      </c>
      <c r="J50" s="26" t="s">
        <v>83</v>
      </c>
      <c r="K50" s="26" t="s">
        <v>92</v>
      </c>
      <c r="L50" s="55">
        <f t="shared" si="0"/>
        <v>1</v>
      </c>
      <c r="M50" s="55">
        <f t="shared" si="1"/>
        <v>2.4</v>
      </c>
    </row>
    <row r="51" spans="1:14" x14ac:dyDescent="0.2">
      <c r="A51" s="26" t="s">
        <v>269</v>
      </c>
      <c r="B51" s="26" t="s">
        <v>270</v>
      </c>
      <c r="E51" s="55">
        <v>1</v>
      </c>
      <c r="F51" s="55">
        <v>1</v>
      </c>
      <c r="G51" s="55" t="s">
        <v>87</v>
      </c>
      <c r="H51" s="55" t="s">
        <v>461</v>
      </c>
      <c r="I51" s="26" t="s">
        <v>85</v>
      </c>
      <c r="J51" s="26" t="s">
        <v>83</v>
      </c>
      <c r="K51" s="26" t="s">
        <v>92</v>
      </c>
      <c r="L51" s="55">
        <f t="shared" si="0"/>
        <v>1</v>
      </c>
      <c r="M51" s="55">
        <f t="shared" si="1"/>
        <v>2.4</v>
      </c>
    </row>
    <row r="52" spans="1:14" x14ac:dyDescent="0.2">
      <c r="A52" s="26" t="s">
        <v>271</v>
      </c>
      <c r="B52" s="26" t="s">
        <v>272</v>
      </c>
      <c r="E52" s="55">
        <v>2</v>
      </c>
      <c r="F52" s="55">
        <v>1</v>
      </c>
      <c r="G52" s="55" t="s">
        <v>87</v>
      </c>
      <c r="H52" s="55" t="s">
        <v>461</v>
      </c>
      <c r="I52" s="26" t="s">
        <v>85</v>
      </c>
      <c r="J52" s="26" t="s">
        <v>82</v>
      </c>
      <c r="K52" s="26" t="s">
        <v>92</v>
      </c>
      <c r="L52" s="55">
        <f t="shared" si="0"/>
        <v>1</v>
      </c>
      <c r="M52" s="55">
        <f t="shared" si="1"/>
        <v>2.4</v>
      </c>
    </row>
    <row r="53" spans="1:14" x14ac:dyDescent="0.2">
      <c r="A53" s="26" t="s">
        <v>273</v>
      </c>
      <c r="B53" s="26" t="s">
        <v>274</v>
      </c>
      <c r="E53" s="55">
        <v>4</v>
      </c>
      <c r="F53" s="55">
        <v>4</v>
      </c>
      <c r="G53" s="55" t="s">
        <v>87</v>
      </c>
      <c r="H53" s="55" t="s">
        <v>461</v>
      </c>
      <c r="I53" s="26" t="s">
        <v>85</v>
      </c>
      <c r="J53" s="26" t="s">
        <v>83</v>
      </c>
      <c r="K53" s="26" t="s">
        <v>92</v>
      </c>
      <c r="L53" s="55">
        <f t="shared" si="0"/>
        <v>4</v>
      </c>
      <c r="M53" s="55">
        <f t="shared" si="1"/>
        <v>9.6</v>
      </c>
    </row>
    <row r="54" spans="1:14" x14ac:dyDescent="0.2">
      <c r="A54" s="26" t="s">
        <v>275</v>
      </c>
      <c r="B54" s="26" t="s">
        <v>276</v>
      </c>
      <c r="E54" s="55">
        <v>2</v>
      </c>
      <c r="F54" s="55">
        <v>1</v>
      </c>
      <c r="G54" s="55" t="s">
        <v>87</v>
      </c>
      <c r="H54" s="55" t="s">
        <v>461</v>
      </c>
      <c r="I54" s="26" t="s">
        <v>85</v>
      </c>
      <c r="J54" s="26" t="s">
        <v>84</v>
      </c>
      <c r="K54" s="26" t="s">
        <v>92</v>
      </c>
      <c r="L54" s="55">
        <f t="shared" si="0"/>
        <v>1</v>
      </c>
      <c r="M54" s="55">
        <f t="shared" si="1"/>
        <v>2.4</v>
      </c>
    </row>
    <row r="55" spans="1:14" x14ac:dyDescent="0.2">
      <c r="A55" s="26" t="s">
        <v>277</v>
      </c>
      <c r="B55" s="26" t="s">
        <v>278</v>
      </c>
      <c r="E55" s="55">
        <v>3</v>
      </c>
      <c r="F55" s="55">
        <v>2</v>
      </c>
      <c r="G55" s="55" t="s">
        <v>87</v>
      </c>
      <c r="H55" s="55" t="s">
        <v>461</v>
      </c>
      <c r="I55" s="26" t="s">
        <v>85</v>
      </c>
      <c r="J55" s="26" t="s">
        <v>83</v>
      </c>
      <c r="K55" s="26" t="s">
        <v>92</v>
      </c>
      <c r="L55" s="55">
        <f t="shared" si="0"/>
        <v>2</v>
      </c>
      <c r="M55" s="55">
        <f t="shared" si="1"/>
        <v>4.8</v>
      </c>
    </row>
    <row r="56" spans="1:14" s="72" customFormat="1" x14ac:dyDescent="0.2">
      <c r="A56" s="62" t="s">
        <v>279</v>
      </c>
      <c r="B56" s="62" t="s">
        <v>280</v>
      </c>
      <c r="C56" s="62"/>
      <c r="D56" s="62"/>
      <c r="E56" s="65">
        <v>50</v>
      </c>
      <c r="F56" s="65">
        <v>50</v>
      </c>
      <c r="G56" s="65" t="s">
        <v>88</v>
      </c>
      <c r="H56" s="65" t="s">
        <v>462</v>
      </c>
      <c r="I56" s="62" t="s">
        <v>164</v>
      </c>
      <c r="J56" s="62" t="s">
        <v>83</v>
      </c>
      <c r="K56" s="62" t="s">
        <v>92</v>
      </c>
      <c r="L56" s="65">
        <f>F56*0.25</f>
        <v>12.5</v>
      </c>
      <c r="M56" s="65">
        <f t="shared" si="1"/>
        <v>30</v>
      </c>
      <c r="N56" s="62" t="s">
        <v>467</v>
      </c>
    </row>
    <row r="57" spans="1:14" x14ac:dyDescent="0.2">
      <c r="A57" s="26" t="s">
        <v>281</v>
      </c>
      <c r="B57" s="26" t="s">
        <v>282</v>
      </c>
      <c r="E57" s="55">
        <v>2</v>
      </c>
      <c r="F57" s="55">
        <v>1</v>
      </c>
      <c r="G57" s="55" t="s">
        <v>87</v>
      </c>
      <c r="H57" s="55" t="s">
        <v>461</v>
      </c>
      <c r="I57" s="26" t="s">
        <v>85</v>
      </c>
      <c r="J57" s="26" t="s">
        <v>82</v>
      </c>
      <c r="K57" s="26" t="s">
        <v>92</v>
      </c>
      <c r="L57" s="55">
        <f t="shared" si="0"/>
        <v>1</v>
      </c>
      <c r="M57" s="55">
        <f t="shared" si="1"/>
        <v>2.4</v>
      </c>
    </row>
    <row r="58" spans="1:14" x14ac:dyDescent="0.2">
      <c r="A58" s="26" t="s">
        <v>283</v>
      </c>
      <c r="B58" s="26" t="s">
        <v>284</v>
      </c>
      <c r="E58" s="55">
        <v>4</v>
      </c>
      <c r="F58" s="55">
        <v>4</v>
      </c>
      <c r="G58" s="55" t="s">
        <v>87</v>
      </c>
      <c r="H58" s="55" t="s">
        <v>461</v>
      </c>
      <c r="I58" s="26" t="s">
        <v>85</v>
      </c>
      <c r="J58" s="26" t="s">
        <v>83</v>
      </c>
      <c r="K58" s="26" t="s">
        <v>92</v>
      </c>
      <c r="L58" s="55">
        <f t="shared" si="0"/>
        <v>4</v>
      </c>
      <c r="M58" s="55">
        <f t="shared" si="1"/>
        <v>9.6</v>
      </c>
    </row>
    <row r="59" spans="1:14" x14ac:dyDescent="0.2">
      <c r="A59" s="26" t="s">
        <v>285</v>
      </c>
      <c r="B59" s="26" t="s">
        <v>286</v>
      </c>
      <c r="E59" s="55">
        <v>2</v>
      </c>
      <c r="F59" s="55">
        <v>1</v>
      </c>
      <c r="G59" s="55" t="s">
        <v>87</v>
      </c>
      <c r="H59" s="55" t="s">
        <v>461</v>
      </c>
      <c r="I59" s="26" t="s">
        <v>85</v>
      </c>
      <c r="J59" s="26" t="s">
        <v>84</v>
      </c>
      <c r="K59" s="26" t="s">
        <v>92</v>
      </c>
      <c r="L59" s="55">
        <f t="shared" si="0"/>
        <v>1</v>
      </c>
      <c r="M59" s="55">
        <f t="shared" si="1"/>
        <v>2.4</v>
      </c>
    </row>
    <row r="60" spans="1:14" x14ac:dyDescent="0.2">
      <c r="A60" s="26" t="s">
        <v>287</v>
      </c>
      <c r="B60" s="26" t="s">
        <v>288</v>
      </c>
      <c r="E60" s="55">
        <v>1</v>
      </c>
      <c r="F60" s="55">
        <v>1</v>
      </c>
      <c r="G60" s="55" t="s">
        <v>87</v>
      </c>
      <c r="H60" s="55" t="s">
        <v>461</v>
      </c>
      <c r="I60" s="26" t="s">
        <v>85</v>
      </c>
      <c r="J60" s="26" t="s">
        <v>84</v>
      </c>
      <c r="K60" s="26" t="s">
        <v>92</v>
      </c>
      <c r="L60" s="55">
        <f t="shared" si="0"/>
        <v>1</v>
      </c>
      <c r="M60" s="55">
        <f t="shared" si="1"/>
        <v>2.4</v>
      </c>
    </row>
    <row r="61" spans="1:14" x14ac:dyDescent="0.2">
      <c r="A61" s="26" t="s">
        <v>289</v>
      </c>
      <c r="B61" s="26" t="s">
        <v>290</v>
      </c>
      <c r="E61" s="55">
        <v>7</v>
      </c>
      <c r="F61" s="55">
        <v>2</v>
      </c>
      <c r="G61" s="55" t="s">
        <v>87</v>
      </c>
      <c r="H61" s="55" t="s">
        <v>461</v>
      </c>
      <c r="I61" s="26" t="s">
        <v>85</v>
      </c>
      <c r="J61" s="26" t="s">
        <v>82</v>
      </c>
      <c r="K61" s="26" t="s">
        <v>92</v>
      </c>
      <c r="L61" s="55">
        <f t="shared" si="0"/>
        <v>2</v>
      </c>
      <c r="M61" s="55">
        <f t="shared" si="1"/>
        <v>4.8</v>
      </c>
    </row>
    <row r="62" spans="1:14" x14ac:dyDescent="0.2">
      <c r="A62" s="26" t="s">
        <v>291</v>
      </c>
      <c r="B62" s="26" t="s">
        <v>292</v>
      </c>
      <c r="E62" s="55">
        <v>2</v>
      </c>
      <c r="F62" s="55">
        <v>2</v>
      </c>
      <c r="G62" s="55" t="s">
        <v>87</v>
      </c>
      <c r="H62" s="55" t="s">
        <v>461</v>
      </c>
      <c r="I62" s="26" t="s">
        <v>85</v>
      </c>
      <c r="J62" s="26" t="s">
        <v>83</v>
      </c>
      <c r="K62" s="26" t="s">
        <v>92</v>
      </c>
      <c r="L62" s="55">
        <f t="shared" si="0"/>
        <v>2</v>
      </c>
      <c r="M62" s="55">
        <f t="shared" si="1"/>
        <v>4.8</v>
      </c>
    </row>
    <row r="63" spans="1:14" x14ac:dyDescent="0.2">
      <c r="A63" s="26" t="s">
        <v>293</v>
      </c>
      <c r="B63" s="26" t="s">
        <v>294</v>
      </c>
      <c r="E63" s="55">
        <v>3</v>
      </c>
      <c r="F63" s="55">
        <v>3</v>
      </c>
      <c r="G63" s="55" t="s">
        <v>87</v>
      </c>
      <c r="H63" s="55" t="s">
        <v>461</v>
      </c>
      <c r="I63" s="26" t="s">
        <v>85</v>
      </c>
      <c r="J63" s="26" t="s">
        <v>83</v>
      </c>
      <c r="K63" s="26" t="s">
        <v>92</v>
      </c>
      <c r="L63" s="55">
        <f t="shared" si="0"/>
        <v>3</v>
      </c>
      <c r="M63" s="55">
        <f t="shared" si="1"/>
        <v>7.1999999999999993</v>
      </c>
    </row>
    <row r="64" spans="1:14" x14ac:dyDescent="0.2">
      <c r="A64" s="26" t="s">
        <v>295</v>
      </c>
      <c r="B64" s="26" t="s">
        <v>296</v>
      </c>
      <c r="E64" s="55">
        <v>1</v>
      </c>
      <c r="F64" s="55">
        <v>1</v>
      </c>
      <c r="G64" s="55" t="s">
        <v>87</v>
      </c>
      <c r="H64" s="55" t="s">
        <v>461</v>
      </c>
      <c r="I64" s="26" t="s">
        <v>85</v>
      </c>
      <c r="J64" s="26" t="s">
        <v>84</v>
      </c>
      <c r="K64" s="26" t="s">
        <v>92</v>
      </c>
      <c r="L64" s="55">
        <f t="shared" si="0"/>
        <v>1</v>
      </c>
      <c r="M64" s="55">
        <f t="shared" si="1"/>
        <v>2.4</v>
      </c>
    </row>
    <row r="65" spans="1:13" x14ac:dyDescent="0.2">
      <c r="A65" s="26" t="s">
        <v>298</v>
      </c>
      <c r="B65" s="26" t="s">
        <v>299</v>
      </c>
      <c r="E65" s="55">
        <v>1</v>
      </c>
      <c r="F65" s="55">
        <v>1</v>
      </c>
      <c r="G65" s="55" t="s">
        <v>87</v>
      </c>
      <c r="H65" s="55" t="s">
        <v>461</v>
      </c>
      <c r="I65" s="26" t="s">
        <v>85</v>
      </c>
      <c r="J65" s="26" t="s">
        <v>83</v>
      </c>
      <c r="K65" s="26" t="s">
        <v>92</v>
      </c>
      <c r="L65" s="55">
        <f t="shared" si="0"/>
        <v>1</v>
      </c>
      <c r="M65" s="55">
        <f t="shared" si="1"/>
        <v>2.4</v>
      </c>
    </row>
    <row r="66" spans="1:13" x14ac:dyDescent="0.2">
      <c r="A66" s="26" t="s">
        <v>300</v>
      </c>
      <c r="B66" s="26" t="s">
        <v>301</v>
      </c>
      <c r="E66" s="55">
        <v>1</v>
      </c>
      <c r="F66" s="55">
        <v>1</v>
      </c>
      <c r="G66" s="55" t="s">
        <v>87</v>
      </c>
      <c r="H66" s="55" t="s">
        <v>461</v>
      </c>
      <c r="I66" s="26" t="s">
        <v>85</v>
      </c>
      <c r="J66" s="26" t="s">
        <v>84</v>
      </c>
      <c r="K66" s="26" t="s">
        <v>92</v>
      </c>
      <c r="L66" s="55">
        <f t="shared" ref="L66:L129" si="2">F66</f>
        <v>1</v>
      </c>
      <c r="M66" s="55">
        <f t="shared" si="1"/>
        <v>2.4</v>
      </c>
    </row>
    <row r="67" spans="1:13" x14ac:dyDescent="0.2">
      <c r="A67" s="26" t="s">
        <v>302</v>
      </c>
      <c r="B67" s="26" t="s">
        <v>303</v>
      </c>
      <c r="E67" s="55">
        <v>2</v>
      </c>
      <c r="F67" s="55">
        <v>1</v>
      </c>
      <c r="G67" s="55" t="s">
        <v>87</v>
      </c>
      <c r="H67" s="55" t="s">
        <v>461</v>
      </c>
      <c r="I67" s="26" t="s">
        <v>85</v>
      </c>
      <c r="J67" s="26" t="s">
        <v>84</v>
      </c>
      <c r="K67" s="26" t="s">
        <v>92</v>
      </c>
      <c r="L67" s="55">
        <f t="shared" si="2"/>
        <v>1</v>
      </c>
      <c r="M67" s="55">
        <f t="shared" ref="M67:M130" si="3">L67*2.4</f>
        <v>2.4</v>
      </c>
    </row>
    <row r="68" spans="1:13" x14ac:dyDescent="0.2">
      <c r="A68" s="26" t="s">
        <v>304</v>
      </c>
      <c r="B68" s="26" t="s">
        <v>305</v>
      </c>
      <c r="E68" s="55">
        <v>2</v>
      </c>
      <c r="F68" s="55">
        <v>1</v>
      </c>
      <c r="G68" s="55" t="s">
        <v>87</v>
      </c>
      <c r="H68" s="55" t="s">
        <v>461</v>
      </c>
      <c r="I68" s="26" t="s">
        <v>85</v>
      </c>
      <c r="J68" s="26" t="s">
        <v>82</v>
      </c>
      <c r="K68" s="26" t="s">
        <v>92</v>
      </c>
      <c r="L68" s="55">
        <f t="shared" si="2"/>
        <v>1</v>
      </c>
      <c r="M68" s="55">
        <f t="shared" si="3"/>
        <v>2.4</v>
      </c>
    </row>
    <row r="69" spans="1:13" x14ac:dyDescent="0.2">
      <c r="A69" s="26" t="s">
        <v>306</v>
      </c>
      <c r="B69" s="26" t="s">
        <v>307</v>
      </c>
      <c r="E69" s="55">
        <v>2</v>
      </c>
      <c r="F69" s="55">
        <v>1</v>
      </c>
      <c r="G69" s="55" t="s">
        <v>87</v>
      </c>
      <c r="H69" s="55" t="s">
        <v>461</v>
      </c>
      <c r="I69" s="26" t="s">
        <v>85</v>
      </c>
      <c r="J69" s="26" t="s">
        <v>84</v>
      </c>
      <c r="K69" s="26" t="s">
        <v>92</v>
      </c>
      <c r="L69" s="55">
        <f t="shared" si="2"/>
        <v>1</v>
      </c>
      <c r="M69" s="55">
        <f t="shared" si="3"/>
        <v>2.4</v>
      </c>
    </row>
    <row r="70" spans="1:13" x14ac:dyDescent="0.2">
      <c r="A70" s="26" t="s">
        <v>308</v>
      </c>
      <c r="B70" s="26" t="s">
        <v>309</v>
      </c>
      <c r="E70" s="55">
        <v>2</v>
      </c>
      <c r="F70" s="55">
        <v>1</v>
      </c>
      <c r="G70" s="55" t="s">
        <v>87</v>
      </c>
      <c r="H70" s="55" t="s">
        <v>461</v>
      </c>
      <c r="I70" s="26" t="s">
        <v>85</v>
      </c>
      <c r="J70" s="26" t="s">
        <v>84</v>
      </c>
      <c r="K70" s="26" t="s">
        <v>92</v>
      </c>
      <c r="L70" s="55">
        <f t="shared" si="2"/>
        <v>1</v>
      </c>
      <c r="M70" s="55">
        <f t="shared" si="3"/>
        <v>2.4</v>
      </c>
    </row>
    <row r="71" spans="1:13" x14ac:dyDescent="0.2">
      <c r="A71" s="26" t="s">
        <v>310</v>
      </c>
      <c r="B71" s="26" t="s">
        <v>311</v>
      </c>
      <c r="E71" s="55">
        <v>2</v>
      </c>
      <c r="F71" s="55">
        <v>1</v>
      </c>
      <c r="G71" s="55" t="s">
        <v>87</v>
      </c>
      <c r="H71" s="55" t="s">
        <v>461</v>
      </c>
      <c r="I71" s="26" t="s">
        <v>85</v>
      </c>
      <c r="J71" s="26" t="s">
        <v>84</v>
      </c>
      <c r="K71" s="26" t="s">
        <v>92</v>
      </c>
      <c r="L71" s="55">
        <f t="shared" si="2"/>
        <v>1</v>
      </c>
      <c r="M71" s="55">
        <f t="shared" si="3"/>
        <v>2.4</v>
      </c>
    </row>
    <row r="72" spans="1:13" x14ac:dyDescent="0.2">
      <c r="A72" s="26" t="s">
        <v>312</v>
      </c>
      <c r="B72" s="26" t="s">
        <v>313</v>
      </c>
      <c r="E72" s="55">
        <v>1</v>
      </c>
      <c r="F72" s="55">
        <v>1</v>
      </c>
      <c r="G72" s="55" t="s">
        <v>87</v>
      </c>
      <c r="H72" s="55" t="s">
        <v>461</v>
      </c>
      <c r="I72" s="26" t="s">
        <v>85</v>
      </c>
      <c r="J72" s="26" t="s">
        <v>83</v>
      </c>
      <c r="K72" s="26" t="s">
        <v>92</v>
      </c>
      <c r="L72" s="55">
        <f t="shared" si="2"/>
        <v>1</v>
      </c>
      <c r="M72" s="55">
        <f t="shared" si="3"/>
        <v>2.4</v>
      </c>
    </row>
    <row r="73" spans="1:13" x14ac:dyDescent="0.2">
      <c r="A73" s="26" t="s">
        <v>314</v>
      </c>
      <c r="B73" s="26" t="s">
        <v>315</v>
      </c>
      <c r="E73" s="55">
        <v>2</v>
      </c>
      <c r="F73" s="55">
        <v>1</v>
      </c>
      <c r="G73" s="55" t="s">
        <v>87</v>
      </c>
      <c r="H73" s="55" t="s">
        <v>461</v>
      </c>
      <c r="I73" s="26" t="s">
        <v>85</v>
      </c>
      <c r="J73" s="26" t="s">
        <v>84</v>
      </c>
      <c r="K73" s="26" t="s">
        <v>92</v>
      </c>
      <c r="L73" s="55">
        <f t="shared" si="2"/>
        <v>1</v>
      </c>
      <c r="M73" s="55">
        <f t="shared" si="3"/>
        <v>2.4</v>
      </c>
    </row>
    <row r="74" spans="1:13" x14ac:dyDescent="0.2">
      <c r="A74" s="26" t="s">
        <v>316</v>
      </c>
      <c r="B74" s="26" t="s">
        <v>317</v>
      </c>
      <c r="E74" s="55">
        <v>2</v>
      </c>
      <c r="F74" s="55">
        <v>1</v>
      </c>
      <c r="G74" s="55" t="s">
        <v>87</v>
      </c>
      <c r="H74" s="55" t="s">
        <v>461</v>
      </c>
      <c r="I74" s="26" t="s">
        <v>85</v>
      </c>
      <c r="J74" s="26" t="s">
        <v>83</v>
      </c>
      <c r="K74" s="26" t="s">
        <v>92</v>
      </c>
      <c r="L74" s="55">
        <f t="shared" si="2"/>
        <v>1</v>
      </c>
      <c r="M74" s="55">
        <f t="shared" si="3"/>
        <v>2.4</v>
      </c>
    </row>
    <row r="75" spans="1:13" x14ac:dyDescent="0.2">
      <c r="A75" s="26" t="s">
        <v>318</v>
      </c>
      <c r="B75" s="26" t="s">
        <v>319</v>
      </c>
      <c r="E75" s="55">
        <v>1</v>
      </c>
      <c r="F75" s="55">
        <v>1</v>
      </c>
      <c r="G75" s="55" t="s">
        <v>87</v>
      </c>
      <c r="H75" s="55" t="s">
        <v>461</v>
      </c>
      <c r="I75" s="26" t="s">
        <v>85</v>
      </c>
      <c r="J75" s="26" t="s">
        <v>82</v>
      </c>
      <c r="K75" s="26" t="s">
        <v>92</v>
      </c>
      <c r="L75" s="55">
        <f t="shared" si="2"/>
        <v>1</v>
      </c>
      <c r="M75" s="55">
        <f t="shared" si="3"/>
        <v>2.4</v>
      </c>
    </row>
    <row r="76" spans="1:13" x14ac:dyDescent="0.2">
      <c r="A76" s="26" t="s">
        <v>320</v>
      </c>
      <c r="B76" s="26" t="s">
        <v>321</v>
      </c>
      <c r="E76" s="55">
        <v>4</v>
      </c>
      <c r="F76" s="55">
        <v>3</v>
      </c>
      <c r="G76" s="55" t="s">
        <v>87</v>
      </c>
      <c r="H76" s="55" t="s">
        <v>461</v>
      </c>
      <c r="I76" s="26" t="s">
        <v>85</v>
      </c>
      <c r="J76" s="26" t="s">
        <v>82</v>
      </c>
      <c r="K76" s="26" t="s">
        <v>92</v>
      </c>
      <c r="L76" s="55">
        <f t="shared" si="2"/>
        <v>3</v>
      </c>
      <c r="M76" s="55">
        <f t="shared" si="3"/>
        <v>7.1999999999999993</v>
      </c>
    </row>
    <row r="77" spans="1:13" x14ac:dyDescent="0.2">
      <c r="A77" s="26" t="s">
        <v>322</v>
      </c>
      <c r="B77" s="26" t="s">
        <v>323</v>
      </c>
      <c r="E77" s="55">
        <v>5</v>
      </c>
      <c r="F77" s="55">
        <v>2</v>
      </c>
      <c r="G77" s="55" t="s">
        <v>87</v>
      </c>
      <c r="H77" s="55" t="s">
        <v>461</v>
      </c>
      <c r="I77" s="26" t="s">
        <v>85</v>
      </c>
      <c r="J77" s="26" t="s">
        <v>83</v>
      </c>
      <c r="K77" s="26" t="s">
        <v>92</v>
      </c>
      <c r="L77" s="55">
        <f t="shared" si="2"/>
        <v>2</v>
      </c>
      <c r="M77" s="55">
        <f t="shared" si="3"/>
        <v>4.8</v>
      </c>
    </row>
    <row r="78" spans="1:13" x14ac:dyDescent="0.2">
      <c r="A78" s="26" t="s">
        <v>324</v>
      </c>
      <c r="B78" s="26" t="s">
        <v>325</v>
      </c>
      <c r="E78" s="55">
        <v>2</v>
      </c>
      <c r="F78" s="55">
        <v>1</v>
      </c>
      <c r="G78" s="55" t="s">
        <v>87</v>
      </c>
      <c r="H78" s="55" t="s">
        <v>461</v>
      </c>
      <c r="I78" s="26" t="s">
        <v>85</v>
      </c>
      <c r="J78" s="26" t="s">
        <v>82</v>
      </c>
      <c r="K78" s="26" t="s">
        <v>92</v>
      </c>
      <c r="L78" s="55">
        <f t="shared" si="2"/>
        <v>1</v>
      </c>
      <c r="M78" s="55">
        <f t="shared" si="3"/>
        <v>2.4</v>
      </c>
    </row>
    <row r="79" spans="1:13" x14ac:dyDescent="0.2">
      <c r="A79" s="26" t="s">
        <v>326</v>
      </c>
      <c r="B79" s="26" t="s">
        <v>327</v>
      </c>
      <c r="E79" s="55">
        <v>2</v>
      </c>
      <c r="F79" s="55">
        <v>1</v>
      </c>
      <c r="G79" s="55" t="s">
        <v>87</v>
      </c>
      <c r="H79" s="55" t="s">
        <v>461</v>
      </c>
      <c r="I79" s="26" t="s">
        <v>85</v>
      </c>
      <c r="J79" s="26" t="s">
        <v>83</v>
      </c>
      <c r="K79" s="26" t="s">
        <v>92</v>
      </c>
      <c r="L79" s="55">
        <f t="shared" si="2"/>
        <v>1</v>
      </c>
      <c r="M79" s="55">
        <f t="shared" si="3"/>
        <v>2.4</v>
      </c>
    </row>
    <row r="80" spans="1:13" x14ac:dyDescent="0.2">
      <c r="A80" s="26" t="s">
        <v>328</v>
      </c>
      <c r="B80" s="26" t="s">
        <v>329</v>
      </c>
      <c r="E80" s="55">
        <v>2</v>
      </c>
      <c r="F80" s="55">
        <v>1</v>
      </c>
      <c r="G80" s="55" t="s">
        <v>87</v>
      </c>
      <c r="H80" s="55" t="s">
        <v>461</v>
      </c>
      <c r="I80" s="26" t="s">
        <v>85</v>
      </c>
      <c r="J80" s="26" t="s">
        <v>84</v>
      </c>
      <c r="K80" s="26" t="s">
        <v>92</v>
      </c>
      <c r="L80" s="55">
        <f t="shared" si="2"/>
        <v>1</v>
      </c>
      <c r="M80" s="55">
        <f t="shared" si="3"/>
        <v>2.4</v>
      </c>
    </row>
    <row r="81" spans="1:14" x14ac:dyDescent="0.2">
      <c r="A81" s="26" t="s">
        <v>330</v>
      </c>
      <c r="B81" s="26" t="s">
        <v>331</v>
      </c>
      <c r="E81" s="55">
        <v>4</v>
      </c>
      <c r="F81" s="55">
        <v>3</v>
      </c>
      <c r="G81" s="55" t="s">
        <v>87</v>
      </c>
      <c r="H81" s="55" t="s">
        <v>461</v>
      </c>
      <c r="I81" s="26" t="s">
        <v>85</v>
      </c>
      <c r="J81" s="26" t="s">
        <v>82</v>
      </c>
      <c r="K81" s="26" t="s">
        <v>92</v>
      </c>
      <c r="L81" s="55">
        <f t="shared" si="2"/>
        <v>3</v>
      </c>
      <c r="M81" s="55">
        <f t="shared" si="3"/>
        <v>7.1999999999999993</v>
      </c>
    </row>
    <row r="82" spans="1:14" x14ac:dyDescent="0.2">
      <c r="A82" s="26" t="s">
        <v>332</v>
      </c>
      <c r="B82" s="26" t="s">
        <v>333</v>
      </c>
      <c r="E82" s="55">
        <v>3</v>
      </c>
      <c r="F82" s="55">
        <v>2</v>
      </c>
      <c r="G82" s="55" t="s">
        <v>87</v>
      </c>
      <c r="H82" s="55" t="s">
        <v>461</v>
      </c>
      <c r="I82" s="26" t="s">
        <v>85</v>
      </c>
      <c r="J82" s="26" t="s">
        <v>82</v>
      </c>
      <c r="K82" s="26" t="s">
        <v>92</v>
      </c>
      <c r="L82" s="55">
        <f t="shared" si="2"/>
        <v>2</v>
      </c>
      <c r="M82" s="55">
        <f t="shared" si="3"/>
        <v>4.8</v>
      </c>
    </row>
    <row r="83" spans="1:14" x14ac:dyDescent="0.2">
      <c r="A83" s="59" t="s">
        <v>334</v>
      </c>
      <c r="B83" s="59" t="s">
        <v>335</v>
      </c>
      <c r="C83" s="59"/>
      <c r="D83" s="60" t="s">
        <v>78</v>
      </c>
      <c r="E83" s="60">
        <v>39</v>
      </c>
      <c r="F83" s="60">
        <v>39</v>
      </c>
      <c r="G83" s="60" t="s">
        <v>88</v>
      </c>
      <c r="H83" s="60" t="s">
        <v>461</v>
      </c>
      <c r="I83" s="59" t="s">
        <v>85</v>
      </c>
      <c r="J83" s="59" t="s">
        <v>83</v>
      </c>
      <c r="K83" s="59" t="s">
        <v>92</v>
      </c>
      <c r="L83" s="60">
        <f t="shared" si="2"/>
        <v>39</v>
      </c>
      <c r="M83" s="60">
        <f t="shared" si="3"/>
        <v>93.6</v>
      </c>
      <c r="N83" s="59" t="s">
        <v>464</v>
      </c>
    </row>
    <row r="84" spans="1:14" x14ac:dyDescent="0.2">
      <c r="A84" s="72" t="s">
        <v>336</v>
      </c>
      <c r="B84" s="72" t="s">
        <v>337</v>
      </c>
      <c r="C84" s="72"/>
      <c r="D84" s="72"/>
      <c r="E84" s="73">
        <v>28</v>
      </c>
      <c r="F84" s="73">
        <v>28</v>
      </c>
      <c r="G84" s="73" t="s">
        <v>88</v>
      </c>
      <c r="H84" s="73" t="s">
        <v>461</v>
      </c>
      <c r="I84" s="72" t="s">
        <v>85</v>
      </c>
      <c r="J84" s="72" t="s">
        <v>84</v>
      </c>
      <c r="K84" s="72" t="s">
        <v>84</v>
      </c>
      <c r="L84" s="73">
        <f t="shared" si="2"/>
        <v>28</v>
      </c>
      <c r="M84" s="55">
        <f t="shared" si="3"/>
        <v>67.2</v>
      </c>
      <c r="N84" s="72"/>
    </row>
    <row r="85" spans="1:14" x14ac:dyDescent="0.2">
      <c r="A85" s="72" t="s">
        <v>338</v>
      </c>
      <c r="B85" s="72" t="s">
        <v>339</v>
      </c>
      <c r="C85" s="72"/>
      <c r="D85" s="72"/>
      <c r="E85" s="73">
        <v>2</v>
      </c>
      <c r="F85" s="73">
        <v>1</v>
      </c>
      <c r="G85" s="73" t="s">
        <v>87</v>
      </c>
      <c r="H85" s="73" t="s">
        <v>461</v>
      </c>
      <c r="I85" s="72" t="s">
        <v>85</v>
      </c>
      <c r="J85" s="72" t="s">
        <v>82</v>
      </c>
      <c r="K85" s="72" t="s">
        <v>92</v>
      </c>
      <c r="L85" s="73">
        <f t="shared" si="2"/>
        <v>1</v>
      </c>
      <c r="M85" s="55">
        <f t="shared" si="3"/>
        <v>2.4</v>
      </c>
      <c r="N85" s="72"/>
    </row>
    <row r="86" spans="1:14" x14ac:dyDescent="0.2">
      <c r="A86" s="26" t="s">
        <v>340</v>
      </c>
      <c r="B86" s="26" t="s">
        <v>341</v>
      </c>
      <c r="E86" s="55">
        <v>4</v>
      </c>
      <c r="F86" s="55">
        <v>2</v>
      </c>
      <c r="G86" s="55" t="s">
        <v>87</v>
      </c>
      <c r="H86" s="55" t="s">
        <v>461</v>
      </c>
      <c r="I86" s="26" t="s">
        <v>85</v>
      </c>
      <c r="J86" s="26" t="s">
        <v>83</v>
      </c>
      <c r="K86" s="26" t="s">
        <v>92</v>
      </c>
      <c r="L86" s="55">
        <f t="shared" si="2"/>
        <v>2</v>
      </c>
      <c r="M86" s="55">
        <f t="shared" si="3"/>
        <v>4.8</v>
      </c>
    </row>
    <row r="87" spans="1:14" x14ac:dyDescent="0.2">
      <c r="A87" s="26" t="s">
        <v>342</v>
      </c>
      <c r="B87" s="26" t="s">
        <v>343</v>
      </c>
      <c r="E87" s="55">
        <v>1</v>
      </c>
      <c r="F87" s="55">
        <v>1</v>
      </c>
      <c r="G87" s="55" t="s">
        <v>87</v>
      </c>
      <c r="H87" s="55" t="s">
        <v>461</v>
      </c>
      <c r="I87" s="26" t="s">
        <v>85</v>
      </c>
      <c r="J87" s="26" t="s">
        <v>82</v>
      </c>
      <c r="K87" s="26" t="s">
        <v>92</v>
      </c>
      <c r="L87" s="55">
        <f t="shared" si="2"/>
        <v>1</v>
      </c>
      <c r="M87" s="55">
        <f t="shared" si="3"/>
        <v>2.4</v>
      </c>
    </row>
    <row r="88" spans="1:14" x14ac:dyDescent="0.2">
      <c r="A88" s="26" t="s">
        <v>344</v>
      </c>
      <c r="B88" s="26" t="s">
        <v>345</v>
      </c>
      <c r="E88" s="55">
        <v>6</v>
      </c>
      <c r="F88" s="55">
        <v>6</v>
      </c>
      <c r="G88" s="55" t="s">
        <v>87</v>
      </c>
      <c r="H88" s="55" t="s">
        <v>461</v>
      </c>
      <c r="I88" s="26" t="s">
        <v>85</v>
      </c>
      <c r="J88" s="26" t="s">
        <v>83</v>
      </c>
      <c r="K88" s="26" t="s">
        <v>92</v>
      </c>
      <c r="L88" s="55">
        <f t="shared" si="2"/>
        <v>6</v>
      </c>
      <c r="M88" s="55">
        <f t="shared" si="3"/>
        <v>14.399999999999999</v>
      </c>
    </row>
    <row r="89" spans="1:14" x14ac:dyDescent="0.2">
      <c r="A89" s="26" t="s">
        <v>346</v>
      </c>
      <c r="B89" s="26" t="s">
        <v>347</v>
      </c>
      <c r="E89" s="55">
        <v>1</v>
      </c>
      <c r="F89" s="55">
        <v>1</v>
      </c>
      <c r="G89" s="55" t="s">
        <v>87</v>
      </c>
      <c r="H89" s="55" t="s">
        <v>461</v>
      </c>
      <c r="I89" s="26" t="s">
        <v>85</v>
      </c>
      <c r="J89" s="26" t="s">
        <v>83</v>
      </c>
      <c r="K89" s="26" t="s">
        <v>92</v>
      </c>
      <c r="L89" s="55">
        <f t="shared" si="2"/>
        <v>1</v>
      </c>
      <c r="M89" s="55">
        <f t="shared" si="3"/>
        <v>2.4</v>
      </c>
    </row>
    <row r="90" spans="1:14" x14ac:dyDescent="0.2">
      <c r="A90" s="26" t="s">
        <v>348</v>
      </c>
      <c r="B90" s="26" t="s">
        <v>349</v>
      </c>
      <c r="E90" s="55">
        <v>3</v>
      </c>
      <c r="F90" s="55">
        <v>2</v>
      </c>
      <c r="G90" s="55" t="s">
        <v>87</v>
      </c>
      <c r="H90" s="55" t="s">
        <v>461</v>
      </c>
      <c r="I90" s="26" t="s">
        <v>85</v>
      </c>
      <c r="J90" s="26" t="s">
        <v>84</v>
      </c>
      <c r="K90" s="26" t="s">
        <v>92</v>
      </c>
      <c r="L90" s="55">
        <f t="shared" si="2"/>
        <v>2</v>
      </c>
      <c r="M90" s="55">
        <f t="shared" si="3"/>
        <v>4.8</v>
      </c>
    </row>
    <row r="91" spans="1:14" x14ac:dyDescent="0.2">
      <c r="A91" s="26" t="s">
        <v>350</v>
      </c>
      <c r="B91" s="26" t="s">
        <v>351</v>
      </c>
      <c r="E91" s="55">
        <v>3</v>
      </c>
      <c r="F91" s="55">
        <v>2</v>
      </c>
      <c r="G91" s="55" t="s">
        <v>87</v>
      </c>
      <c r="H91" s="55" t="s">
        <v>461</v>
      </c>
      <c r="I91" s="26" t="s">
        <v>85</v>
      </c>
      <c r="J91" s="26" t="s">
        <v>84</v>
      </c>
      <c r="K91" s="26" t="s">
        <v>92</v>
      </c>
      <c r="L91" s="55">
        <f t="shared" si="2"/>
        <v>2</v>
      </c>
      <c r="M91" s="55">
        <f t="shared" si="3"/>
        <v>4.8</v>
      </c>
    </row>
    <row r="92" spans="1:14" x14ac:dyDescent="0.2">
      <c r="A92" s="26" t="s">
        <v>352</v>
      </c>
      <c r="B92" s="26" t="s">
        <v>353</v>
      </c>
      <c r="C92" s="72"/>
      <c r="D92" s="72"/>
      <c r="E92" s="73">
        <v>3</v>
      </c>
      <c r="F92" s="73">
        <v>2</v>
      </c>
      <c r="G92" s="73" t="s">
        <v>87</v>
      </c>
      <c r="H92" s="73" t="s">
        <v>461</v>
      </c>
      <c r="I92" s="26" t="s">
        <v>85</v>
      </c>
      <c r="J92" s="26" t="s">
        <v>84</v>
      </c>
      <c r="K92" s="26" t="s">
        <v>92</v>
      </c>
      <c r="L92" s="55">
        <f t="shared" si="2"/>
        <v>2</v>
      </c>
      <c r="M92" s="55">
        <f t="shared" si="3"/>
        <v>4.8</v>
      </c>
    </row>
    <row r="93" spans="1:14" x14ac:dyDescent="0.2">
      <c r="A93" s="62" t="s">
        <v>354</v>
      </c>
      <c r="B93" s="62" t="s">
        <v>297</v>
      </c>
      <c r="C93" s="62"/>
      <c r="D93" s="62"/>
      <c r="E93" s="65">
        <v>296</v>
      </c>
      <c r="F93" s="65">
        <v>296</v>
      </c>
      <c r="G93" s="65" t="s">
        <v>88</v>
      </c>
      <c r="H93" s="65" t="s">
        <v>462</v>
      </c>
      <c r="I93" s="62" t="s">
        <v>164</v>
      </c>
      <c r="J93" s="62" t="s">
        <v>84</v>
      </c>
      <c r="K93" s="62" t="s">
        <v>84</v>
      </c>
      <c r="L93" s="65">
        <f>F93*0.25</f>
        <v>74</v>
      </c>
      <c r="M93" s="65">
        <f t="shared" si="3"/>
        <v>177.6</v>
      </c>
      <c r="N93" s="62" t="s">
        <v>467</v>
      </c>
    </row>
    <row r="94" spans="1:14" x14ac:dyDescent="0.2">
      <c r="A94" s="26" t="s">
        <v>355</v>
      </c>
      <c r="B94" s="26" t="s">
        <v>356</v>
      </c>
      <c r="E94" s="55">
        <v>2</v>
      </c>
      <c r="F94" s="55">
        <v>1</v>
      </c>
      <c r="G94" s="55" t="s">
        <v>87</v>
      </c>
      <c r="H94" s="55" t="s">
        <v>461</v>
      </c>
      <c r="I94" s="26" t="s">
        <v>85</v>
      </c>
      <c r="J94" s="26" t="s">
        <v>83</v>
      </c>
      <c r="K94" s="26" t="s">
        <v>92</v>
      </c>
      <c r="L94" s="55">
        <f t="shared" si="2"/>
        <v>1</v>
      </c>
      <c r="M94" s="55">
        <f t="shared" si="3"/>
        <v>2.4</v>
      </c>
    </row>
    <row r="95" spans="1:14" x14ac:dyDescent="0.2">
      <c r="A95" s="26" t="s">
        <v>357</v>
      </c>
      <c r="B95" s="26" t="s">
        <v>358</v>
      </c>
      <c r="E95" s="55">
        <v>9</v>
      </c>
      <c r="F95" s="55">
        <v>8</v>
      </c>
      <c r="G95" s="55" t="s">
        <v>87</v>
      </c>
      <c r="H95" s="55" t="s">
        <v>461</v>
      </c>
      <c r="I95" s="26" t="s">
        <v>85</v>
      </c>
      <c r="J95" s="26" t="s">
        <v>82</v>
      </c>
      <c r="K95" s="26" t="s">
        <v>92</v>
      </c>
      <c r="L95" s="55">
        <f t="shared" si="2"/>
        <v>8</v>
      </c>
      <c r="M95" s="55">
        <f t="shared" si="3"/>
        <v>19.2</v>
      </c>
    </row>
    <row r="96" spans="1:14" x14ac:dyDescent="0.2">
      <c r="A96" s="26" t="s">
        <v>359</v>
      </c>
      <c r="B96" s="26" t="s">
        <v>360</v>
      </c>
      <c r="E96" s="55">
        <v>2</v>
      </c>
      <c r="F96" s="55">
        <v>1</v>
      </c>
      <c r="G96" s="55" t="s">
        <v>87</v>
      </c>
      <c r="H96" s="55" t="s">
        <v>461</v>
      </c>
      <c r="I96" s="26" t="s">
        <v>85</v>
      </c>
      <c r="J96" s="26" t="s">
        <v>84</v>
      </c>
      <c r="K96" s="26" t="s">
        <v>92</v>
      </c>
      <c r="L96" s="55">
        <f t="shared" si="2"/>
        <v>1</v>
      </c>
      <c r="M96" s="55">
        <f t="shared" si="3"/>
        <v>2.4</v>
      </c>
    </row>
    <row r="97" spans="1:14" x14ac:dyDescent="0.2">
      <c r="A97" s="72" t="s">
        <v>361</v>
      </c>
      <c r="B97" s="72" t="s">
        <v>362</v>
      </c>
      <c r="C97" s="72"/>
      <c r="D97" s="72"/>
      <c r="E97" s="73">
        <v>46</v>
      </c>
      <c r="F97" s="73">
        <v>46</v>
      </c>
      <c r="G97" s="73" t="s">
        <v>88</v>
      </c>
      <c r="H97" s="73" t="s">
        <v>461</v>
      </c>
      <c r="I97" s="72" t="s">
        <v>85</v>
      </c>
      <c r="J97" s="72" t="s">
        <v>82</v>
      </c>
      <c r="K97" s="72" t="s">
        <v>82</v>
      </c>
      <c r="L97" s="73">
        <f t="shared" si="2"/>
        <v>46</v>
      </c>
      <c r="M97" s="55">
        <f t="shared" si="3"/>
        <v>110.39999999999999</v>
      </c>
      <c r="N97" s="72"/>
    </row>
    <row r="98" spans="1:14" x14ac:dyDescent="0.2">
      <c r="A98" s="72" t="s">
        <v>363</v>
      </c>
      <c r="B98" s="72" t="s">
        <v>364</v>
      </c>
      <c r="C98" s="72"/>
      <c r="D98" s="72"/>
      <c r="E98" s="73">
        <v>1</v>
      </c>
      <c r="F98" s="73">
        <v>1</v>
      </c>
      <c r="G98" s="73" t="s">
        <v>87</v>
      </c>
      <c r="H98" s="73" t="s">
        <v>461</v>
      </c>
      <c r="I98" s="72" t="s">
        <v>85</v>
      </c>
      <c r="J98" s="72" t="s">
        <v>84</v>
      </c>
      <c r="K98" s="72" t="s">
        <v>92</v>
      </c>
      <c r="L98" s="73">
        <f t="shared" si="2"/>
        <v>1</v>
      </c>
      <c r="M98" s="55">
        <f t="shared" si="3"/>
        <v>2.4</v>
      </c>
      <c r="N98" s="72"/>
    </row>
    <row r="99" spans="1:14" x14ac:dyDescent="0.2">
      <c r="A99" s="72" t="s">
        <v>365</v>
      </c>
      <c r="B99" s="72" t="s">
        <v>366</v>
      </c>
      <c r="C99" s="72"/>
      <c r="D99" s="72"/>
      <c r="E99" s="73">
        <v>3</v>
      </c>
      <c r="F99" s="73">
        <v>2</v>
      </c>
      <c r="G99" s="73" t="s">
        <v>87</v>
      </c>
      <c r="H99" s="73" t="s">
        <v>461</v>
      </c>
      <c r="I99" s="72" t="s">
        <v>85</v>
      </c>
      <c r="J99" s="72" t="s">
        <v>82</v>
      </c>
      <c r="K99" s="72" t="s">
        <v>92</v>
      </c>
      <c r="L99" s="73">
        <f t="shared" si="2"/>
        <v>2</v>
      </c>
      <c r="M99" s="55">
        <f t="shared" si="3"/>
        <v>4.8</v>
      </c>
      <c r="N99" s="72"/>
    </row>
    <row r="100" spans="1:14" x14ac:dyDescent="0.2">
      <c r="A100" s="72" t="s">
        <v>367</v>
      </c>
      <c r="B100" s="72" t="s">
        <v>368</v>
      </c>
      <c r="C100" s="72"/>
      <c r="D100" s="72"/>
      <c r="E100" s="73">
        <v>3</v>
      </c>
      <c r="F100" s="73">
        <v>2</v>
      </c>
      <c r="G100" s="73" t="s">
        <v>87</v>
      </c>
      <c r="H100" s="73" t="s">
        <v>461</v>
      </c>
      <c r="I100" s="72" t="s">
        <v>85</v>
      </c>
      <c r="J100" s="72" t="s">
        <v>84</v>
      </c>
      <c r="K100" s="72" t="s">
        <v>92</v>
      </c>
      <c r="L100" s="73">
        <f t="shared" si="2"/>
        <v>2</v>
      </c>
      <c r="M100" s="55">
        <f t="shared" si="3"/>
        <v>4.8</v>
      </c>
      <c r="N100" s="72"/>
    </row>
    <row r="101" spans="1:14" x14ac:dyDescent="0.2">
      <c r="A101" s="72" t="s">
        <v>369</v>
      </c>
      <c r="B101" s="72" t="s">
        <v>370</v>
      </c>
      <c r="C101" s="72"/>
      <c r="D101" s="72"/>
      <c r="E101" s="73">
        <v>2</v>
      </c>
      <c r="F101" s="73">
        <v>1</v>
      </c>
      <c r="G101" s="73" t="s">
        <v>87</v>
      </c>
      <c r="H101" s="73" t="s">
        <v>461</v>
      </c>
      <c r="I101" s="72" t="s">
        <v>85</v>
      </c>
      <c r="J101" s="72" t="s">
        <v>82</v>
      </c>
      <c r="K101" s="72" t="s">
        <v>92</v>
      </c>
      <c r="L101" s="73">
        <f t="shared" si="2"/>
        <v>1</v>
      </c>
      <c r="M101" s="55">
        <f t="shared" si="3"/>
        <v>2.4</v>
      </c>
      <c r="N101" s="72"/>
    </row>
    <row r="102" spans="1:14" x14ac:dyDescent="0.2">
      <c r="A102" s="72" t="s">
        <v>371</v>
      </c>
      <c r="B102" s="72" t="s">
        <v>372</v>
      </c>
      <c r="C102" s="72"/>
      <c r="D102" s="72"/>
      <c r="E102" s="73">
        <v>2</v>
      </c>
      <c r="F102" s="73">
        <v>1</v>
      </c>
      <c r="G102" s="73" t="s">
        <v>87</v>
      </c>
      <c r="H102" s="73" t="s">
        <v>461</v>
      </c>
      <c r="I102" s="72" t="s">
        <v>85</v>
      </c>
      <c r="J102" s="72" t="s">
        <v>83</v>
      </c>
      <c r="K102" s="72" t="s">
        <v>92</v>
      </c>
      <c r="L102" s="73">
        <f t="shared" si="2"/>
        <v>1</v>
      </c>
      <c r="M102" s="55">
        <f t="shared" si="3"/>
        <v>2.4</v>
      </c>
      <c r="N102" s="72"/>
    </row>
    <row r="103" spans="1:14" x14ac:dyDescent="0.2">
      <c r="A103" s="72" t="s">
        <v>373</v>
      </c>
      <c r="B103" s="72" t="s">
        <v>374</v>
      </c>
      <c r="C103" s="72"/>
      <c r="D103" s="72"/>
      <c r="E103" s="73">
        <v>3</v>
      </c>
      <c r="F103" s="73">
        <v>2</v>
      </c>
      <c r="G103" s="73" t="s">
        <v>87</v>
      </c>
      <c r="H103" s="73" t="s">
        <v>461</v>
      </c>
      <c r="I103" s="72" t="s">
        <v>85</v>
      </c>
      <c r="J103" s="72" t="s">
        <v>82</v>
      </c>
      <c r="K103" s="72" t="s">
        <v>92</v>
      </c>
      <c r="L103" s="73">
        <f t="shared" si="2"/>
        <v>2</v>
      </c>
      <c r="M103" s="55">
        <f t="shared" si="3"/>
        <v>4.8</v>
      </c>
      <c r="N103" s="72"/>
    </row>
    <row r="104" spans="1:14" x14ac:dyDescent="0.2">
      <c r="A104" s="72" t="s">
        <v>375</v>
      </c>
      <c r="B104" s="72" t="s">
        <v>337</v>
      </c>
      <c r="C104" s="72"/>
      <c r="D104" s="72"/>
      <c r="E104" s="73">
        <v>1</v>
      </c>
      <c r="F104" s="73">
        <v>1</v>
      </c>
      <c r="G104" s="73" t="s">
        <v>87</v>
      </c>
      <c r="H104" s="73" t="s">
        <v>461</v>
      </c>
      <c r="I104" s="72" t="s">
        <v>85</v>
      </c>
      <c r="J104" s="72" t="s">
        <v>84</v>
      </c>
      <c r="K104" s="72" t="s">
        <v>92</v>
      </c>
      <c r="L104" s="73">
        <f t="shared" si="2"/>
        <v>1</v>
      </c>
      <c r="M104" s="55">
        <f t="shared" si="3"/>
        <v>2.4</v>
      </c>
      <c r="N104" s="72"/>
    </row>
    <row r="105" spans="1:14" x14ac:dyDescent="0.2">
      <c r="A105" s="72" t="s">
        <v>376</v>
      </c>
      <c r="B105" s="72" t="s">
        <v>377</v>
      </c>
      <c r="C105" s="72"/>
      <c r="D105" s="72"/>
      <c r="E105" s="73">
        <v>2</v>
      </c>
      <c r="F105" s="73">
        <v>1</v>
      </c>
      <c r="G105" s="73" t="s">
        <v>87</v>
      </c>
      <c r="H105" s="73" t="s">
        <v>461</v>
      </c>
      <c r="I105" s="72" t="s">
        <v>85</v>
      </c>
      <c r="J105" s="72" t="s">
        <v>83</v>
      </c>
      <c r="K105" s="72" t="s">
        <v>92</v>
      </c>
      <c r="L105" s="73">
        <f t="shared" si="2"/>
        <v>1</v>
      </c>
      <c r="M105" s="55">
        <f t="shared" si="3"/>
        <v>2.4</v>
      </c>
      <c r="N105" s="72"/>
    </row>
    <row r="106" spans="1:14" s="72" customFormat="1" x14ac:dyDescent="0.2">
      <c r="A106" s="72" t="s">
        <v>378</v>
      </c>
      <c r="B106" s="72" t="s">
        <v>379</v>
      </c>
      <c r="E106" s="73">
        <v>17</v>
      </c>
      <c r="F106" s="73">
        <v>15</v>
      </c>
      <c r="G106" s="73" t="s">
        <v>88</v>
      </c>
      <c r="H106" s="73" t="s">
        <v>461</v>
      </c>
      <c r="I106" s="72" t="s">
        <v>85</v>
      </c>
      <c r="J106" s="72" t="s">
        <v>82</v>
      </c>
      <c r="K106" s="72" t="s">
        <v>82</v>
      </c>
      <c r="L106" s="73">
        <f t="shared" si="2"/>
        <v>15</v>
      </c>
      <c r="M106" s="55">
        <f t="shared" si="3"/>
        <v>36</v>
      </c>
    </row>
    <row r="107" spans="1:14" x14ac:dyDescent="0.2">
      <c r="A107" s="26" t="s">
        <v>380</v>
      </c>
      <c r="B107" s="26" t="s">
        <v>381</v>
      </c>
      <c r="E107" s="55">
        <v>3</v>
      </c>
      <c r="F107" s="55">
        <v>2</v>
      </c>
      <c r="G107" s="55" t="s">
        <v>87</v>
      </c>
      <c r="H107" s="55" t="s">
        <v>461</v>
      </c>
      <c r="I107" s="26" t="s">
        <v>85</v>
      </c>
      <c r="J107" s="26" t="s">
        <v>82</v>
      </c>
      <c r="K107" s="26" t="s">
        <v>92</v>
      </c>
      <c r="L107" s="55">
        <f t="shared" si="2"/>
        <v>2</v>
      </c>
      <c r="M107" s="55">
        <f t="shared" si="3"/>
        <v>4.8</v>
      </c>
    </row>
    <row r="108" spans="1:14" x14ac:dyDescent="0.2">
      <c r="A108" s="26" t="s">
        <v>382</v>
      </c>
      <c r="B108" s="26" t="s">
        <v>383</v>
      </c>
      <c r="E108" s="55">
        <v>2</v>
      </c>
      <c r="F108" s="55">
        <v>1</v>
      </c>
      <c r="G108" s="55" t="s">
        <v>87</v>
      </c>
      <c r="H108" s="55" t="s">
        <v>461</v>
      </c>
      <c r="I108" s="26" t="s">
        <v>85</v>
      </c>
      <c r="J108" s="26" t="s">
        <v>84</v>
      </c>
      <c r="K108" s="26" t="s">
        <v>92</v>
      </c>
      <c r="L108" s="55">
        <f t="shared" si="2"/>
        <v>1</v>
      </c>
      <c r="M108" s="55">
        <f t="shared" si="3"/>
        <v>2.4</v>
      </c>
    </row>
    <row r="109" spans="1:14" x14ac:dyDescent="0.2">
      <c r="A109" s="26" t="s">
        <v>384</v>
      </c>
      <c r="B109" s="26" t="s">
        <v>345</v>
      </c>
      <c r="E109" s="55">
        <v>3</v>
      </c>
      <c r="F109" s="55">
        <v>3</v>
      </c>
      <c r="G109" s="55" t="s">
        <v>87</v>
      </c>
      <c r="H109" s="55" t="s">
        <v>461</v>
      </c>
      <c r="I109" s="26" t="s">
        <v>85</v>
      </c>
      <c r="J109" s="26" t="s">
        <v>83</v>
      </c>
      <c r="K109" s="26" t="s">
        <v>92</v>
      </c>
      <c r="L109" s="55">
        <f t="shared" si="2"/>
        <v>3</v>
      </c>
      <c r="M109" s="55">
        <f t="shared" si="3"/>
        <v>7.1999999999999993</v>
      </c>
    </row>
    <row r="110" spans="1:14" x14ac:dyDescent="0.2">
      <c r="A110" s="26" t="s">
        <v>385</v>
      </c>
      <c r="B110" s="26" t="s">
        <v>386</v>
      </c>
      <c r="E110" s="55">
        <v>2</v>
      </c>
      <c r="F110" s="55">
        <v>1</v>
      </c>
      <c r="G110" s="55" t="s">
        <v>87</v>
      </c>
      <c r="H110" s="55" t="s">
        <v>461</v>
      </c>
      <c r="I110" s="26" t="s">
        <v>85</v>
      </c>
      <c r="J110" s="26" t="s">
        <v>82</v>
      </c>
      <c r="K110" s="26" t="s">
        <v>92</v>
      </c>
      <c r="L110" s="55">
        <f t="shared" si="2"/>
        <v>1</v>
      </c>
      <c r="M110" s="55">
        <f t="shared" si="3"/>
        <v>2.4</v>
      </c>
    </row>
    <row r="111" spans="1:14" x14ac:dyDescent="0.2">
      <c r="A111" s="59" t="s">
        <v>387</v>
      </c>
      <c r="B111" s="59" t="s">
        <v>388</v>
      </c>
      <c r="C111" s="60"/>
      <c r="D111" s="60" t="s">
        <v>78</v>
      </c>
      <c r="E111" s="60">
        <v>24</v>
      </c>
      <c r="F111" s="60">
        <v>24</v>
      </c>
      <c r="G111" s="60" t="s">
        <v>88</v>
      </c>
      <c r="H111" s="60" t="s">
        <v>461</v>
      </c>
      <c r="I111" s="59" t="s">
        <v>85</v>
      </c>
      <c r="J111" s="59" t="s">
        <v>83</v>
      </c>
      <c r="K111" s="59" t="s">
        <v>92</v>
      </c>
      <c r="L111" s="60">
        <f t="shared" si="2"/>
        <v>24</v>
      </c>
      <c r="M111" s="60">
        <f t="shared" si="3"/>
        <v>57.599999999999994</v>
      </c>
      <c r="N111" s="59" t="s">
        <v>465</v>
      </c>
    </row>
    <row r="112" spans="1:14" x14ac:dyDescent="0.2">
      <c r="A112" s="26" t="s">
        <v>389</v>
      </c>
      <c r="B112" s="26" t="s">
        <v>390</v>
      </c>
      <c r="E112" s="55">
        <v>2</v>
      </c>
      <c r="F112" s="55">
        <v>1</v>
      </c>
      <c r="G112" s="55" t="s">
        <v>87</v>
      </c>
      <c r="H112" s="55" t="s">
        <v>461</v>
      </c>
      <c r="I112" s="26" t="s">
        <v>85</v>
      </c>
      <c r="J112" s="26" t="s">
        <v>84</v>
      </c>
      <c r="K112" s="26" t="s">
        <v>92</v>
      </c>
      <c r="L112" s="55">
        <f t="shared" si="2"/>
        <v>1</v>
      </c>
      <c r="M112" s="55">
        <f t="shared" si="3"/>
        <v>2.4</v>
      </c>
    </row>
    <row r="113" spans="1:14" x14ac:dyDescent="0.2">
      <c r="A113" s="26" t="s">
        <v>391</v>
      </c>
      <c r="B113" s="26" t="s">
        <v>392</v>
      </c>
      <c r="E113" s="55">
        <v>1</v>
      </c>
      <c r="F113" s="55">
        <v>1</v>
      </c>
      <c r="G113" s="55" t="s">
        <v>87</v>
      </c>
      <c r="H113" s="55" t="s">
        <v>461</v>
      </c>
      <c r="I113" s="26" t="s">
        <v>85</v>
      </c>
      <c r="J113" s="26" t="s">
        <v>82</v>
      </c>
      <c r="K113" s="26" t="s">
        <v>92</v>
      </c>
      <c r="L113" s="55">
        <f t="shared" si="2"/>
        <v>1</v>
      </c>
      <c r="M113" s="55">
        <f t="shared" si="3"/>
        <v>2.4</v>
      </c>
    </row>
    <row r="114" spans="1:14" x14ac:dyDescent="0.2">
      <c r="A114" s="26" t="s">
        <v>393</v>
      </c>
      <c r="B114" s="26" t="s">
        <v>394</v>
      </c>
      <c r="E114" s="55">
        <v>5</v>
      </c>
      <c r="F114" s="55">
        <v>4</v>
      </c>
      <c r="G114" s="55" t="s">
        <v>87</v>
      </c>
      <c r="H114" s="55" t="s">
        <v>461</v>
      </c>
      <c r="I114" s="26" t="s">
        <v>85</v>
      </c>
      <c r="J114" s="26" t="s">
        <v>82</v>
      </c>
      <c r="K114" s="26" t="s">
        <v>92</v>
      </c>
      <c r="L114" s="55">
        <f t="shared" si="2"/>
        <v>4</v>
      </c>
      <c r="M114" s="55">
        <f t="shared" si="3"/>
        <v>9.6</v>
      </c>
    </row>
    <row r="115" spans="1:14" x14ac:dyDescent="0.2">
      <c r="A115" s="26" t="s">
        <v>395</v>
      </c>
      <c r="B115" s="26" t="s">
        <v>396</v>
      </c>
      <c r="E115" s="55">
        <v>2</v>
      </c>
      <c r="F115" s="55">
        <v>1</v>
      </c>
      <c r="G115" s="55" t="s">
        <v>87</v>
      </c>
      <c r="H115" s="55" t="s">
        <v>461</v>
      </c>
      <c r="I115" s="26" t="s">
        <v>85</v>
      </c>
      <c r="J115" s="26" t="s">
        <v>84</v>
      </c>
      <c r="K115" s="26" t="s">
        <v>92</v>
      </c>
      <c r="L115" s="55">
        <f t="shared" si="2"/>
        <v>1</v>
      </c>
      <c r="M115" s="55">
        <f t="shared" si="3"/>
        <v>2.4</v>
      </c>
    </row>
    <row r="116" spans="1:14" x14ac:dyDescent="0.2">
      <c r="A116" s="59" t="s">
        <v>397</v>
      </c>
      <c r="B116" s="59" t="s">
        <v>398</v>
      </c>
      <c r="C116" s="60"/>
      <c r="D116" s="60" t="s">
        <v>78</v>
      </c>
      <c r="E116" s="60">
        <v>74</v>
      </c>
      <c r="F116" s="60">
        <v>22</v>
      </c>
      <c r="G116" s="60" t="s">
        <v>88</v>
      </c>
      <c r="H116" s="60" t="s">
        <v>461</v>
      </c>
      <c r="I116" s="59" t="s">
        <v>85</v>
      </c>
      <c r="J116" s="59" t="s">
        <v>83</v>
      </c>
      <c r="K116" s="59" t="s">
        <v>92</v>
      </c>
      <c r="L116" s="60">
        <f>F116*0.25</f>
        <v>5.5</v>
      </c>
      <c r="M116" s="60">
        <f t="shared" si="3"/>
        <v>13.2</v>
      </c>
      <c r="N116" s="59" t="s">
        <v>466</v>
      </c>
    </row>
    <row r="117" spans="1:14" x14ac:dyDescent="0.2">
      <c r="A117" s="26" t="s">
        <v>399</v>
      </c>
      <c r="B117" s="26" t="s">
        <v>400</v>
      </c>
      <c r="E117" s="55">
        <v>9</v>
      </c>
      <c r="F117" s="55">
        <v>8</v>
      </c>
      <c r="G117" s="55" t="s">
        <v>87</v>
      </c>
      <c r="H117" s="55" t="s">
        <v>461</v>
      </c>
      <c r="I117" s="26" t="s">
        <v>85</v>
      </c>
      <c r="J117" s="26" t="s">
        <v>82</v>
      </c>
      <c r="K117" s="26" t="s">
        <v>92</v>
      </c>
      <c r="L117" s="55">
        <f t="shared" si="2"/>
        <v>8</v>
      </c>
      <c r="M117" s="55">
        <f t="shared" si="3"/>
        <v>19.2</v>
      </c>
    </row>
    <row r="118" spans="1:14" x14ac:dyDescent="0.2">
      <c r="A118" s="26" t="s">
        <v>401</v>
      </c>
      <c r="B118" s="26" t="s">
        <v>402</v>
      </c>
      <c r="E118" s="55">
        <v>2</v>
      </c>
      <c r="F118" s="55">
        <v>2</v>
      </c>
      <c r="G118" s="55" t="s">
        <v>87</v>
      </c>
      <c r="H118" s="55" t="s">
        <v>461</v>
      </c>
      <c r="I118" s="26" t="s">
        <v>85</v>
      </c>
      <c r="J118" s="26" t="s">
        <v>83</v>
      </c>
      <c r="K118" s="26" t="s">
        <v>92</v>
      </c>
      <c r="L118" s="55">
        <f t="shared" si="2"/>
        <v>2</v>
      </c>
      <c r="M118" s="55">
        <f t="shared" si="3"/>
        <v>4.8</v>
      </c>
    </row>
    <row r="119" spans="1:14" x14ac:dyDescent="0.2">
      <c r="A119" s="62" t="s">
        <v>403</v>
      </c>
      <c r="B119" s="62" t="s">
        <v>404</v>
      </c>
      <c r="C119" s="65"/>
      <c r="D119" s="65"/>
      <c r="E119" s="65">
        <v>375</v>
      </c>
      <c r="F119" s="65">
        <v>375</v>
      </c>
      <c r="G119" s="65" t="s">
        <v>88</v>
      </c>
      <c r="H119" s="65" t="s">
        <v>462</v>
      </c>
      <c r="I119" s="62" t="s">
        <v>164</v>
      </c>
      <c r="J119" s="62" t="s">
        <v>83</v>
      </c>
      <c r="K119" s="62" t="s">
        <v>92</v>
      </c>
      <c r="L119" s="65">
        <f>F119*0.25</f>
        <v>93.75</v>
      </c>
      <c r="M119" s="65">
        <f t="shared" si="3"/>
        <v>225</v>
      </c>
      <c r="N119" s="62" t="s">
        <v>467</v>
      </c>
    </row>
    <row r="120" spans="1:14" x14ac:dyDescent="0.2">
      <c r="A120" s="26" t="s">
        <v>405</v>
      </c>
      <c r="B120" s="26" t="s">
        <v>406</v>
      </c>
      <c r="E120" s="55">
        <v>1</v>
      </c>
      <c r="F120" s="55">
        <v>1</v>
      </c>
      <c r="G120" s="55" t="s">
        <v>87</v>
      </c>
      <c r="H120" s="55" t="s">
        <v>461</v>
      </c>
      <c r="I120" s="26" t="s">
        <v>85</v>
      </c>
      <c r="J120" s="26" t="s">
        <v>84</v>
      </c>
      <c r="K120" s="26" t="s">
        <v>92</v>
      </c>
      <c r="L120" s="55">
        <f t="shared" si="2"/>
        <v>1</v>
      </c>
      <c r="M120" s="55">
        <f t="shared" si="3"/>
        <v>2.4</v>
      </c>
    </row>
    <row r="121" spans="1:14" x14ac:dyDescent="0.2">
      <c r="A121" s="59" t="s">
        <v>407</v>
      </c>
      <c r="B121" s="59" t="s">
        <v>408</v>
      </c>
      <c r="C121" s="59"/>
      <c r="D121" s="60" t="s">
        <v>78</v>
      </c>
      <c r="E121" s="60">
        <v>53</v>
      </c>
      <c r="F121" s="60">
        <v>53</v>
      </c>
      <c r="G121" s="60" t="s">
        <v>88</v>
      </c>
      <c r="H121" s="60" t="s">
        <v>462</v>
      </c>
      <c r="I121" s="59" t="s">
        <v>85</v>
      </c>
      <c r="J121" s="59" t="s">
        <v>83</v>
      </c>
      <c r="K121" s="59" t="s">
        <v>92</v>
      </c>
      <c r="L121" s="60">
        <f>F121*0.25</f>
        <v>13.25</v>
      </c>
      <c r="M121" s="60">
        <f t="shared" si="3"/>
        <v>31.799999999999997</v>
      </c>
      <c r="N121" s="59" t="s">
        <v>466</v>
      </c>
    </row>
    <row r="122" spans="1:14" x14ac:dyDescent="0.2">
      <c r="A122" s="26" t="s">
        <v>409</v>
      </c>
      <c r="B122" s="26" t="s">
        <v>410</v>
      </c>
      <c r="E122" s="55">
        <v>3</v>
      </c>
      <c r="F122" s="55">
        <v>2</v>
      </c>
      <c r="G122" s="55" t="s">
        <v>87</v>
      </c>
      <c r="H122" s="55" t="s">
        <v>461</v>
      </c>
      <c r="I122" s="26" t="s">
        <v>85</v>
      </c>
      <c r="J122" s="26" t="s">
        <v>82</v>
      </c>
      <c r="K122" s="26" t="s">
        <v>92</v>
      </c>
      <c r="L122" s="55">
        <f t="shared" si="2"/>
        <v>2</v>
      </c>
      <c r="M122" s="55">
        <f t="shared" si="3"/>
        <v>4.8</v>
      </c>
    </row>
    <row r="123" spans="1:14" x14ac:dyDescent="0.2">
      <c r="A123" s="26" t="s">
        <v>411</v>
      </c>
      <c r="B123" s="26" t="s">
        <v>412</v>
      </c>
      <c r="E123" s="55">
        <v>2</v>
      </c>
      <c r="F123" s="55">
        <v>1</v>
      </c>
      <c r="G123" s="55" t="s">
        <v>87</v>
      </c>
      <c r="H123" s="55" t="s">
        <v>461</v>
      </c>
      <c r="I123" s="26" t="s">
        <v>85</v>
      </c>
      <c r="J123" s="26" t="s">
        <v>82</v>
      </c>
      <c r="K123" s="26" t="s">
        <v>92</v>
      </c>
      <c r="L123" s="55">
        <f t="shared" si="2"/>
        <v>1</v>
      </c>
      <c r="M123" s="55">
        <f t="shared" si="3"/>
        <v>2.4</v>
      </c>
    </row>
    <row r="124" spans="1:14" x14ac:dyDescent="0.2">
      <c r="A124" s="26" t="s">
        <v>413</v>
      </c>
      <c r="B124" s="26" t="s">
        <v>414</v>
      </c>
      <c r="E124" s="55">
        <v>3</v>
      </c>
      <c r="F124" s="55">
        <v>2</v>
      </c>
      <c r="G124" s="55" t="s">
        <v>87</v>
      </c>
      <c r="H124" s="55" t="s">
        <v>461</v>
      </c>
      <c r="I124" s="26" t="s">
        <v>85</v>
      </c>
      <c r="J124" s="26" t="s">
        <v>84</v>
      </c>
      <c r="K124" s="26" t="s">
        <v>92</v>
      </c>
      <c r="L124" s="55">
        <f t="shared" si="2"/>
        <v>2</v>
      </c>
      <c r="M124" s="55">
        <f t="shared" si="3"/>
        <v>4.8</v>
      </c>
    </row>
    <row r="125" spans="1:14" x14ac:dyDescent="0.2">
      <c r="A125" s="26" t="s">
        <v>415</v>
      </c>
      <c r="B125" s="26" t="s">
        <v>416</v>
      </c>
      <c r="E125" s="55">
        <v>3</v>
      </c>
      <c r="F125" s="55">
        <v>3</v>
      </c>
      <c r="G125" s="55" t="s">
        <v>87</v>
      </c>
      <c r="H125" s="55" t="s">
        <v>461</v>
      </c>
      <c r="I125" s="26" t="s">
        <v>85</v>
      </c>
      <c r="J125" s="26" t="s">
        <v>82</v>
      </c>
      <c r="K125" s="26" t="s">
        <v>92</v>
      </c>
      <c r="L125" s="55">
        <f t="shared" si="2"/>
        <v>3</v>
      </c>
      <c r="M125" s="55">
        <f t="shared" si="3"/>
        <v>7.1999999999999993</v>
      </c>
    </row>
    <row r="126" spans="1:14" x14ac:dyDescent="0.2">
      <c r="A126" s="26" t="s">
        <v>417</v>
      </c>
      <c r="B126" s="26" t="s">
        <v>418</v>
      </c>
      <c r="E126" s="55">
        <v>1</v>
      </c>
      <c r="F126" s="55">
        <v>1</v>
      </c>
      <c r="G126" s="55" t="s">
        <v>87</v>
      </c>
      <c r="H126" s="55" t="s">
        <v>461</v>
      </c>
      <c r="I126" s="26" t="s">
        <v>85</v>
      </c>
      <c r="J126" s="26" t="s">
        <v>82</v>
      </c>
      <c r="K126" s="26" t="s">
        <v>92</v>
      </c>
      <c r="L126" s="55">
        <f t="shared" si="2"/>
        <v>1</v>
      </c>
      <c r="M126" s="55">
        <f t="shared" si="3"/>
        <v>2.4</v>
      </c>
    </row>
    <row r="127" spans="1:14" x14ac:dyDescent="0.2">
      <c r="A127" s="26" t="s">
        <v>419</v>
      </c>
      <c r="B127" s="26" t="s">
        <v>420</v>
      </c>
      <c r="E127" s="55">
        <v>1</v>
      </c>
      <c r="F127" s="55">
        <v>1</v>
      </c>
      <c r="G127" s="55" t="s">
        <v>87</v>
      </c>
      <c r="H127" s="55" t="s">
        <v>461</v>
      </c>
      <c r="I127" s="26" t="s">
        <v>85</v>
      </c>
      <c r="J127" s="26" t="s">
        <v>84</v>
      </c>
      <c r="K127" s="26" t="s">
        <v>92</v>
      </c>
      <c r="L127" s="55">
        <f t="shared" si="2"/>
        <v>1</v>
      </c>
      <c r="M127" s="55">
        <f t="shared" si="3"/>
        <v>2.4</v>
      </c>
    </row>
    <row r="128" spans="1:14" x14ac:dyDescent="0.2">
      <c r="A128" s="26" t="s">
        <v>421</v>
      </c>
      <c r="B128" s="26" t="s">
        <v>422</v>
      </c>
      <c r="E128" s="55">
        <v>4</v>
      </c>
      <c r="F128" s="55">
        <v>3</v>
      </c>
      <c r="G128" s="55" t="s">
        <v>87</v>
      </c>
      <c r="H128" s="55" t="s">
        <v>461</v>
      </c>
      <c r="I128" s="26" t="s">
        <v>85</v>
      </c>
      <c r="J128" s="26" t="s">
        <v>84</v>
      </c>
      <c r="K128" s="26" t="s">
        <v>92</v>
      </c>
      <c r="L128" s="55">
        <f t="shared" si="2"/>
        <v>3</v>
      </c>
      <c r="M128" s="55">
        <f t="shared" si="3"/>
        <v>7.1999999999999993</v>
      </c>
    </row>
    <row r="129" spans="1:13" x14ac:dyDescent="0.2">
      <c r="A129" s="26" t="s">
        <v>423</v>
      </c>
      <c r="B129" s="26" t="s">
        <v>424</v>
      </c>
      <c r="E129" s="55">
        <v>5</v>
      </c>
      <c r="F129" s="55">
        <v>3</v>
      </c>
      <c r="G129" s="55" t="s">
        <v>87</v>
      </c>
      <c r="H129" s="55" t="s">
        <v>461</v>
      </c>
      <c r="I129" s="26" t="s">
        <v>85</v>
      </c>
      <c r="J129" s="26" t="s">
        <v>83</v>
      </c>
      <c r="K129" s="26" t="s">
        <v>92</v>
      </c>
      <c r="L129" s="55">
        <f t="shared" si="2"/>
        <v>3</v>
      </c>
      <c r="M129" s="55">
        <f t="shared" si="3"/>
        <v>7.1999999999999993</v>
      </c>
    </row>
    <row r="130" spans="1:13" x14ac:dyDescent="0.2">
      <c r="A130" s="26" t="s">
        <v>425</v>
      </c>
      <c r="B130" s="26" t="s">
        <v>426</v>
      </c>
      <c r="E130" s="55">
        <v>3</v>
      </c>
      <c r="F130" s="55">
        <v>3</v>
      </c>
      <c r="G130" s="55" t="s">
        <v>87</v>
      </c>
      <c r="H130" s="55" t="s">
        <v>461</v>
      </c>
      <c r="I130" s="26" t="s">
        <v>85</v>
      </c>
      <c r="J130" s="26" t="s">
        <v>82</v>
      </c>
      <c r="K130" s="26" t="s">
        <v>92</v>
      </c>
      <c r="L130" s="55">
        <f t="shared" ref="L130:L147" si="4">F130</f>
        <v>3</v>
      </c>
      <c r="M130" s="55">
        <f t="shared" si="3"/>
        <v>7.1999999999999993</v>
      </c>
    </row>
    <row r="131" spans="1:13" x14ac:dyDescent="0.2">
      <c r="A131" s="26" t="s">
        <v>427</v>
      </c>
      <c r="B131" s="26" t="s">
        <v>428</v>
      </c>
      <c r="E131" s="55">
        <v>4</v>
      </c>
      <c r="F131" s="55">
        <v>3</v>
      </c>
      <c r="G131" s="55" t="s">
        <v>87</v>
      </c>
      <c r="H131" s="55" t="s">
        <v>461</v>
      </c>
      <c r="I131" s="26" t="s">
        <v>85</v>
      </c>
      <c r="J131" s="26" t="s">
        <v>84</v>
      </c>
      <c r="K131" s="26" t="s">
        <v>92</v>
      </c>
      <c r="L131" s="55">
        <f t="shared" si="4"/>
        <v>3</v>
      </c>
      <c r="M131" s="55">
        <f t="shared" ref="M131:M147" si="5">L131*2.4</f>
        <v>7.1999999999999993</v>
      </c>
    </row>
    <row r="132" spans="1:13" x14ac:dyDescent="0.2">
      <c r="A132" s="26" t="s">
        <v>429</v>
      </c>
      <c r="B132" s="26" t="s">
        <v>430</v>
      </c>
      <c r="E132" s="55">
        <v>2</v>
      </c>
      <c r="F132" s="55">
        <v>1</v>
      </c>
      <c r="G132" s="55" t="s">
        <v>87</v>
      </c>
      <c r="H132" s="55" t="s">
        <v>461</v>
      </c>
      <c r="I132" s="26" t="s">
        <v>85</v>
      </c>
      <c r="J132" s="26" t="s">
        <v>84</v>
      </c>
      <c r="K132" s="26" t="s">
        <v>92</v>
      </c>
      <c r="L132" s="55">
        <f t="shared" si="4"/>
        <v>1</v>
      </c>
      <c r="M132" s="55">
        <f t="shared" si="5"/>
        <v>2.4</v>
      </c>
    </row>
    <row r="133" spans="1:13" x14ac:dyDescent="0.2">
      <c r="A133" s="26" t="s">
        <v>431</v>
      </c>
      <c r="B133" s="26" t="s">
        <v>432</v>
      </c>
      <c r="E133" s="55">
        <v>1</v>
      </c>
      <c r="F133" s="55">
        <v>1</v>
      </c>
      <c r="G133" s="55" t="s">
        <v>87</v>
      </c>
      <c r="H133" s="55" t="s">
        <v>461</v>
      </c>
      <c r="I133" s="26" t="s">
        <v>85</v>
      </c>
      <c r="J133" s="26" t="s">
        <v>82</v>
      </c>
      <c r="K133" s="26" t="s">
        <v>92</v>
      </c>
      <c r="L133" s="55">
        <f t="shared" si="4"/>
        <v>1</v>
      </c>
      <c r="M133" s="55">
        <f t="shared" si="5"/>
        <v>2.4</v>
      </c>
    </row>
    <row r="134" spans="1:13" x14ac:dyDescent="0.2">
      <c r="A134" s="26" t="s">
        <v>433</v>
      </c>
      <c r="B134" s="26" t="s">
        <v>434</v>
      </c>
      <c r="E134" s="55">
        <v>1</v>
      </c>
      <c r="F134" s="55">
        <v>1</v>
      </c>
      <c r="G134" s="55" t="s">
        <v>87</v>
      </c>
      <c r="H134" s="55" t="s">
        <v>461</v>
      </c>
      <c r="I134" s="26" t="s">
        <v>85</v>
      </c>
      <c r="J134" s="26" t="s">
        <v>83</v>
      </c>
      <c r="K134" s="26" t="s">
        <v>92</v>
      </c>
      <c r="L134" s="55">
        <f t="shared" si="4"/>
        <v>1</v>
      </c>
      <c r="M134" s="55">
        <f t="shared" si="5"/>
        <v>2.4</v>
      </c>
    </row>
    <row r="135" spans="1:13" x14ac:dyDescent="0.2">
      <c r="A135" s="26" t="s">
        <v>435</v>
      </c>
      <c r="B135" s="26" t="s">
        <v>436</v>
      </c>
      <c r="E135" s="55">
        <v>9</v>
      </c>
      <c r="F135" s="55">
        <v>8</v>
      </c>
      <c r="G135" s="55" t="s">
        <v>87</v>
      </c>
      <c r="H135" s="55" t="s">
        <v>461</v>
      </c>
      <c r="I135" s="26" t="s">
        <v>85</v>
      </c>
      <c r="J135" s="26" t="s">
        <v>82</v>
      </c>
      <c r="K135" s="26" t="s">
        <v>92</v>
      </c>
      <c r="L135" s="55">
        <f t="shared" si="4"/>
        <v>8</v>
      </c>
      <c r="M135" s="55">
        <f t="shared" si="5"/>
        <v>19.2</v>
      </c>
    </row>
    <row r="136" spans="1:13" x14ac:dyDescent="0.2">
      <c r="A136" s="26" t="s">
        <v>437</v>
      </c>
      <c r="B136" s="26" t="s">
        <v>438</v>
      </c>
      <c r="E136" s="55">
        <v>4</v>
      </c>
      <c r="F136" s="55">
        <v>3</v>
      </c>
      <c r="G136" s="55" t="s">
        <v>87</v>
      </c>
      <c r="H136" s="55" t="s">
        <v>461</v>
      </c>
      <c r="I136" s="26" t="s">
        <v>85</v>
      </c>
      <c r="J136" s="26" t="s">
        <v>84</v>
      </c>
      <c r="K136" s="26" t="s">
        <v>92</v>
      </c>
      <c r="L136" s="55">
        <f t="shared" si="4"/>
        <v>3</v>
      </c>
      <c r="M136" s="55">
        <f t="shared" si="5"/>
        <v>7.1999999999999993</v>
      </c>
    </row>
    <row r="137" spans="1:13" x14ac:dyDescent="0.2">
      <c r="A137" s="26" t="s">
        <v>439</v>
      </c>
      <c r="B137" s="26" t="s">
        <v>440</v>
      </c>
      <c r="E137" s="55">
        <v>10</v>
      </c>
      <c r="F137" s="55">
        <v>9</v>
      </c>
      <c r="G137" s="55" t="s">
        <v>87</v>
      </c>
      <c r="H137" s="55" t="s">
        <v>461</v>
      </c>
      <c r="I137" s="26" t="s">
        <v>85</v>
      </c>
      <c r="J137" s="26" t="s">
        <v>84</v>
      </c>
      <c r="K137" s="26" t="s">
        <v>92</v>
      </c>
      <c r="L137" s="55">
        <f t="shared" si="4"/>
        <v>9</v>
      </c>
      <c r="M137" s="55">
        <f t="shared" si="5"/>
        <v>21.599999999999998</v>
      </c>
    </row>
    <row r="138" spans="1:13" x14ac:dyDescent="0.2">
      <c r="A138" s="26" t="s">
        <v>441</v>
      </c>
      <c r="B138" s="26" t="s">
        <v>442</v>
      </c>
      <c r="E138" s="55">
        <v>1</v>
      </c>
      <c r="F138" s="55">
        <v>1</v>
      </c>
      <c r="G138" s="55" t="s">
        <v>87</v>
      </c>
      <c r="H138" s="55" t="s">
        <v>461</v>
      </c>
      <c r="I138" s="26" t="s">
        <v>85</v>
      </c>
      <c r="J138" s="26" t="s">
        <v>82</v>
      </c>
      <c r="K138" s="26" t="s">
        <v>92</v>
      </c>
      <c r="L138" s="55">
        <f t="shared" si="4"/>
        <v>1</v>
      </c>
      <c r="M138" s="55">
        <f t="shared" si="5"/>
        <v>2.4</v>
      </c>
    </row>
    <row r="139" spans="1:13" x14ac:dyDescent="0.2">
      <c r="A139" s="26" t="s">
        <v>443</v>
      </c>
      <c r="B139" s="26" t="s">
        <v>444</v>
      </c>
      <c r="E139" s="55">
        <v>2</v>
      </c>
      <c r="F139" s="55">
        <v>1</v>
      </c>
      <c r="G139" s="55" t="s">
        <v>87</v>
      </c>
      <c r="H139" s="55" t="s">
        <v>461</v>
      </c>
      <c r="I139" s="26" t="s">
        <v>85</v>
      </c>
      <c r="J139" s="26" t="s">
        <v>82</v>
      </c>
      <c r="K139" s="26" t="s">
        <v>92</v>
      </c>
      <c r="L139" s="55">
        <f t="shared" si="4"/>
        <v>1</v>
      </c>
      <c r="M139" s="55">
        <f t="shared" si="5"/>
        <v>2.4</v>
      </c>
    </row>
    <row r="140" spans="1:13" x14ac:dyDescent="0.2">
      <c r="A140" s="26" t="s">
        <v>445</v>
      </c>
      <c r="B140" s="26" t="s">
        <v>446</v>
      </c>
      <c r="E140" s="55">
        <v>1</v>
      </c>
      <c r="F140" s="55">
        <v>1</v>
      </c>
      <c r="G140" s="55" t="s">
        <v>87</v>
      </c>
      <c r="H140" s="55" t="s">
        <v>461</v>
      </c>
      <c r="I140" s="26" t="s">
        <v>85</v>
      </c>
      <c r="J140" s="26" t="s">
        <v>82</v>
      </c>
      <c r="K140" s="26" t="s">
        <v>92</v>
      </c>
      <c r="L140" s="55">
        <f t="shared" si="4"/>
        <v>1</v>
      </c>
      <c r="M140" s="55">
        <f t="shared" si="5"/>
        <v>2.4</v>
      </c>
    </row>
    <row r="141" spans="1:13" x14ac:dyDescent="0.2">
      <c r="A141" s="26" t="s">
        <v>447</v>
      </c>
      <c r="B141" s="26" t="s">
        <v>448</v>
      </c>
      <c r="E141" s="55">
        <v>2</v>
      </c>
      <c r="F141" s="55">
        <v>2</v>
      </c>
      <c r="G141" s="55" t="s">
        <v>87</v>
      </c>
      <c r="H141" s="55" t="s">
        <v>461</v>
      </c>
      <c r="I141" s="26" t="s">
        <v>85</v>
      </c>
      <c r="J141" s="26" t="s">
        <v>83</v>
      </c>
      <c r="K141" s="26" t="s">
        <v>92</v>
      </c>
      <c r="L141" s="55">
        <f t="shared" si="4"/>
        <v>2</v>
      </c>
      <c r="M141" s="55">
        <f t="shared" si="5"/>
        <v>4.8</v>
      </c>
    </row>
    <row r="142" spans="1:13" x14ac:dyDescent="0.2">
      <c r="A142" s="26" t="s">
        <v>449</v>
      </c>
      <c r="B142" s="26" t="s">
        <v>450</v>
      </c>
      <c r="E142" s="55">
        <v>2</v>
      </c>
      <c r="F142" s="55">
        <v>2</v>
      </c>
      <c r="G142" s="55" t="s">
        <v>87</v>
      </c>
      <c r="H142" s="55" t="s">
        <v>461</v>
      </c>
      <c r="I142" s="26" t="s">
        <v>85</v>
      </c>
      <c r="J142" s="26" t="s">
        <v>82</v>
      </c>
      <c r="K142" s="26" t="s">
        <v>92</v>
      </c>
      <c r="L142" s="55">
        <f t="shared" si="4"/>
        <v>2</v>
      </c>
      <c r="M142" s="55">
        <f t="shared" si="5"/>
        <v>4.8</v>
      </c>
    </row>
    <row r="143" spans="1:13" x14ac:dyDescent="0.2">
      <c r="A143" s="26" t="s">
        <v>451</v>
      </c>
      <c r="B143" s="26" t="s">
        <v>452</v>
      </c>
      <c r="E143" s="55">
        <v>2</v>
      </c>
      <c r="F143" s="55">
        <v>1</v>
      </c>
      <c r="G143" s="55" t="s">
        <v>87</v>
      </c>
      <c r="H143" s="55" t="s">
        <v>461</v>
      </c>
      <c r="I143" s="26" t="s">
        <v>85</v>
      </c>
      <c r="J143" s="26" t="s">
        <v>84</v>
      </c>
      <c r="K143" s="26" t="s">
        <v>92</v>
      </c>
      <c r="L143" s="55">
        <f t="shared" si="4"/>
        <v>1</v>
      </c>
      <c r="M143" s="55">
        <f t="shared" si="5"/>
        <v>2.4</v>
      </c>
    </row>
    <row r="144" spans="1:13" x14ac:dyDescent="0.2">
      <c r="A144" s="71" t="s">
        <v>453</v>
      </c>
      <c r="B144" s="42" t="s">
        <v>454</v>
      </c>
      <c r="E144" s="53">
        <v>8</v>
      </c>
      <c r="F144" s="53">
        <v>8</v>
      </c>
      <c r="G144" s="55" t="s">
        <v>87</v>
      </c>
      <c r="H144" s="55" t="s">
        <v>461</v>
      </c>
      <c r="I144" s="26" t="s">
        <v>85</v>
      </c>
      <c r="J144" s="26" t="s">
        <v>83</v>
      </c>
      <c r="K144" s="26" t="s">
        <v>92</v>
      </c>
      <c r="L144" s="55">
        <f t="shared" si="4"/>
        <v>8</v>
      </c>
      <c r="M144" s="55">
        <f t="shared" si="5"/>
        <v>19.2</v>
      </c>
    </row>
    <row r="145" spans="1:13" x14ac:dyDescent="0.2">
      <c r="A145" s="43" t="s">
        <v>455</v>
      </c>
      <c r="B145" s="67" t="s">
        <v>456</v>
      </c>
      <c r="E145" s="46">
        <v>1</v>
      </c>
      <c r="F145" s="48">
        <v>1</v>
      </c>
      <c r="G145" s="55" t="s">
        <v>87</v>
      </c>
      <c r="H145" s="55" t="s">
        <v>461</v>
      </c>
      <c r="I145" s="26" t="s">
        <v>85</v>
      </c>
      <c r="J145" s="26" t="s">
        <v>84</v>
      </c>
      <c r="K145" s="26" t="s">
        <v>92</v>
      </c>
      <c r="L145" s="55">
        <f t="shared" si="4"/>
        <v>1</v>
      </c>
      <c r="M145" s="55">
        <f t="shared" si="5"/>
        <v>2.4</v>
      </c>
    </row>
    <row r="146" spans="1:13" x14ac:dyDescent="0.2">
      <c r="A146" s="56" t="s">
        <v>457</v>
      </c>
      <c r="B146" s="26" t="s">
        <v>458</v>
      </c>
      <c r="E146" s="55">
        <v>2</v>
      </c>
      <c r="F146" s="55">
        <v>1</v>
      </c>
      <c r="G146" s="55" t="s">
        <v>87</v>
      </c>
      <c r="H146" s="55" t="s">
        <v>461</v>
      </c>
      <c r="I146" s="26" t="s">
        <v>85</v>
      </c>
      <c r="J146" s="26" t="s">
        <v>84</v>
      </c>
      <c r="K146" s="26" t="s">
        <v>92</v>
      </c>
      <c r="L146" s="55">
        <f t="shared" si="4"/>
        <v>1</v>
      </c>
      <c r="M146" s="55">
        <f t="shared" si="5"/>
        <v>2.4</v>
      </c>
    </row>
    <row r="147" spans="1:13" x14ac:dyDescent="0.2">
      <c r="A147" s="71" t="s">
        <v>459</v>
      </c>
      <c r="B147" s="44" t="s">
        <v>460</v>
      </c>
      <c r="E147" s="53">
        <v>2</v>
      </c>
      <c r="F147" s="53">
        <v>1</v>
      </c>
      <c r="G147" s="55" t="s">
        <v>87</v>
      </c>
      <c r="H147" s="55" t="s">
        <v>461</v>
      </c>
      <c r="I147" s="26" t="s">
        <v>85</v>
      </c>
      <c r="J147" s="26" t="s">
        <v>84</v>
      </c>
      <c r="K147" s="26" t="s">
        <v>92</v>
      </c>
      <c r="L147" s="55">
        <f t="shared" si="4"/>
        <v>1</v>
      </c>
      <c r="M147" s="55">
        <f t="shared" si="5"/>
        <v>2.4</v>
      </c>
    </row>
    <row r="148" spans="1:13" x14ac:dyDescent="0.2">
      <c r="A148" s="54" t="s">
        <v>712</v>
      </c>
      <c r="B148" s="26" t="s">
        <v>713</v>
      </c>
      <c r="C148" s="55"/>
      <c r="D148" s="55"/>
      <c r="E148" s="55">
        <v>1</v>
      </c>
      <c r="F148" s="55">
        <v>1</v>
      </c>
      <c r="G148" s="55" t="s">
        <v>87</v>
      </c>
      <c r="H148" s="55" t="s">
        <v>461</v>
      </c>
      <c r="I148" s="56" t="s">
        <v>85</v>
      </c>
      <c r="J148" s="26" t="s">
        <v>84</v>
      </c>
      <c r="K148" s="26" t="s">
        <v>92</v>
      </c>
      <c r="L148" s="55">
        <f>F148</f>
        <v>1</v>
      </c>
      <c r="M148" s="55">
        <v>2.4</v>
      </c>
    </row>
    <row r="149" spans="1:13" x14ac:dyDescent="0.2">
      <c r="A149" s="56" t="s">
        <v>714</v>
      </c>
      <c r="B149" s="26" t="s">
        <v>715</v>
      </c>
      <c r="C149" s="55"/>
      <c r="D149" s="55"/>
      <c r="E149" s="55">
        <v>1</v>
      </c>
      <c r="F149" s="55">
        <v>1</v>
      </c>
      <c r="G149" s="55" t="s">
        <v>87</v>
      </c>
      <c r="H149" s="55" t="s">
        <v>461</v>
      </c>
      <c r="I149" s="56" t="s">
        <v>85</v>
      </c>
      <c r="J149" s="26" t="s">
        <v>84</v>
      </c>
      <c r="K149" s="26" t="s">
        <v>92</v>
      </c>
      <c r="L149" s="55">
        <f t="shared" ref="L149:L151" si="6">F149</f>
        <v>1</v>
      </c>
      <c r="M149" s="55">
        <v>2.4</v>
      </c>
    </row>
    <row r="150" spans="1:13" x14ac:dyDescent="0.2">
      <c r="A150" s="56" t="s">
        <v>716</v>
      </c>
      <c r="B150" s="26" t="s">
        <v>717</v>
      </c>
      <c r="C150" s="55" t="s">
        <v>74</v>
      </c>
      <c r="D150" s="55"/>
      <c r="E150" s="55">
        <v>1</v>
      </c>
      <c r="F150" s="55">
        <v>1</v>
      </c>
      <c r="G150" s="55" t="s">
        <v>87</v>
      </c>
      <c r="H150" s="55" t="s">
        <v>461</v>
      </c>
      <c r="I150" s="56" t="s">
        <v>85</v>
      </c>
      <c r="J150" s="26" t="s">
        <v>84</v>
      </c>
      <c r="K150" s="26" t="s">
        <v>92</v>
      </c>
      <c r="L150" s="55">
        <f t="shared" si="6"/>
        <v>1</v>
      </c>
      <c r="M150" s="55">
        <v>2.4</v>
      </c>
    </row>
    <row r="151" spans="1:13" x14ac:dyDescent="0.2">
      <c r="A151" s="56" t="s">
        <v>718</v>
      </c>
      <c r="B151" s="26" t="s">
        <v>719</v>
      </c>
      <c r="C151" s="53" t="s">
        <v>720</v>
      </c>
      <c r="D151" s="53"/>
      <c r="E151" s="53">
        <v>1</v>
      </c>
      <c r="F151" s="53">
        <v>1</v>
      </c>
      <c r="G151" s="55" t="s">
        <v>87</v>
      </c>
      <c r="H151" s="55" t="s">
        <v>461</v>
      </c>
      <c r="I151" s="56" t="s">
        <v>85</v>
      </c>
      <c r="J151" s="26" t="s">
        <v>83</v>
      </c>
      <c r="K151" s="26" t="s">
        <v>92</v>
      </c>
      <c r="L151" s="55">
        <f t="shared" si="6"/>
        <v>1</v>
      </c>
      <c r="M151" s="55">
        <v>2.4</v>
      </c>
    </row>
    <row r="152" spans="1:13" x14ac:dyDescent="0.2">
      <c r="A152" s="26" t="s">
        <v>721</v>
      </c>
      <c r="B152" s="26" t="s">
        <v>722</v>
      </c>
      <c r="C152" s="55" t="s">
        <v>723</v>
      </c>
      <c r="D152" s="55"/>
      <c r="E152" s="55">
        <v>104</v>
      </c>
      <c r="F152" s="55">
        <v>104</v>
      </c>
      <c r="G152" s="55" t="s">
        <v>88</v>
      </c>
      <c r="H152" s="55" t="s">
        <v>462</v>
      </c>
      <c r="I152" s="56" t="s">
        <v>164</v>
      </c>
      <c r="J152" s="56" t="s">
        <v>84</v>
      </c>
      <c r="K152" s="26" t="s">
        <v>84</v>
      </c>
      <c r="L152" s="55">
        <f>F152*0.25</f>
        <v>26</v>
      </c>
      <c r="M152" s="55">
        <v>62.4</v>
      </c>
    </row>
    <row r="153" spans="1:13" x14ac:dyDescent="0.2">
      <c r="A153" s="58" t="s">
        <v>724</v>
      </c>
      <c r="B153" s="58" t="s">
        <v>725</v>
      </c>
      <c r="C153" s="55"/>
      <c r="D153" s="55"/>
      <c r="E153" s="55">
        <v>9</v>
      </c>
      <c r="F153" s="55">
        <v>8</v>
      </c>
      <c r="G153" s="55" t="s">
        <v>87</v>
      </c>
      <c r="H153" s="55" t="s">
        <v>461</v>
      </c>
      <c r="I153" s="56" t="s">
        <v>85</v>
      </c>
      <c r="J153" s="26" t="s">
        <v>82</v>
      </c>
      <c r="K153" s="26" t="s">
        <v>92</v>
      </c>
      <c r="L153" s="55">
        <f t="shared" ref="L153:L154" si="7">F153</f>
        <v>8</v>
      </c>
      <c r="M153" s="55">
        <v>19.2</v>
      </c>
    </row>
    <row r="154" spans="1:13" x14ac:dyDescent="0.2">
      <c r="A154" s="41" t="s">
        <v>726</v>
      </c>
      <c r="B154" s="58" t="s">
        <v>727</v>
      </c>
      <c r="C154" s="55"/>
      <c r="D154" s="55"/>
      <c r="E154" s="53">
        <v>2</v>
      </c>
      <c r="F154" s="53">
        <v>1</v>
      </c>
      <c r="G154" s="55" t="s">
        <v>87</v>
      </c>
      <c r="H154" s="55" t="s">
        <v>461</v>
      </c>
      <c r="I154" s="56" t="s">
        <v>85</v>
      </c>
      <c r="J154" s="56" t="s">
        <v>83</v>
      </c>
      <c r="K154" s="26" t="s">
        <v>92</v>
      </c>
      <c r="L154" s="55">
        <f t="shared" si="7"/>
        <v>1</v>
      </c>
      <c r="M154" s="55">
        <v>2.4</v>
      </c>
    </row>
    <row r="156" spans="1:13" x14ac:dyDescent="0.2">
      <c r="A156" s="38" t="s">
        <v>0</v>
      </c>
      <c r="E156" s="25">
        <f>SUM(E2:E154)</f>
        <v>1571</v>
      </c>
      <c r="F156" s="25">
        <f>SUM(F2:F154)</f>
        <v>1407</v>
      </c>
      <c r="G156" s="55"/>
      <c r="H156" s="55"/>
      <c r="L156" s="25">
        <f>SUM(L2:L154)</f>
        <v>732</v>
      </c>
      <c r="M156" s="25">
        <f>SUM(M2:M154)</f>
        <v>1756.8000000000015</v>
      </c>
    </row>
    <row r="157" spans="1:13" x14ac:dyDescent="0.2">
      <c r="A157" s="38"/>
      <c r="C157" s="25" t="s">
        <v>580</v>
      </c>
      <c r="D157" s="25" t="s">
        <v>581</v>
      </c>
    </row>
    <row r="158" spans="1:13" x14ac:dyDescent="0.2">
      <c r="A158" s="38" t="s">
        <v>470</v>
      </c>
      <c r="C158" s="25">
        <v>136</v>
      </c>
      <c r="D158" s="120">
        <f>C158*2.4</f>
        <v>326.39999999999998</v>
      </c>
    </row>
    <row r="159" spans="1:13" x14ac:dyDescent="0.2">
      <c r="A159" s="38" t="s">
        <v>101</v>
      </c>
      <c r="C159" s="25">
        <v>128</v>
      </c>
      <c r="D159" s="120">
        <f t="shared" ref="D159:D161" si="8">C159*2.4</f>
        <v>307.2</v>
      </c>
    </row>
    <row r="160" spans="1:13" x14ac:dyDescent="0.2">
      <c r="A160" s="38" t="s">
        <v>102</v>
      </c>
      <c r="C160" s="25">
        <v>201</v>
      </c>
      <c r="D160" s="120">
        <f t="shared" si="8"/>
        <v>482.4</v>
      </c>
    </row>
    <row r="161" spans="1:4" x14ac:dyDescent="0.2">
      <c r="A161" s="38" t="s">
        <v>91</v>
      </c>
      <c r="C161" s="25">
        <v>267</v>
      </c>
      <c r="D161" s="120">
        <f t="shared" si="8"/>
        <v>640.79999999999995</v>
      </c>
    </row>
  </sheetData>
  <sheetProtection algorithmName="SHA-512" hashValue="Kho3Q6wis/Fv1LgQKhvOZXxg9IRTs1GQnKAttZmNKQ8St7XM7YjbiKvofG7h4ceYMA4hhMKWed1SOEJBxvVX1g==" saltValue="w/TSUvUPvaEb9lbNYMmRCw==" spinCount="100000" sheet="1" objects="1" scenarios="1"/>
  <autoFilter ref="A1:N154" xr:uid="{909D0BB7-F2C4-4F2C-AE2D-21114C3AC612}"/>
  <conditionalFormatting sqref="A148:A152">
    <cfRule type="duplicateValues" dxfId="32" priority="13"/>
  </conditionalFormatting>
  <conditionalFormatting sqref="B148:B152">
    <cfRule type="duplicateValues" dxfId="31" priority="12"/>
  </conditionalFormatting>
  <conditionalFormatting sqref="A148:B152">
    <cfRule type="duplicateValues" dxfId="30" priority="11"/>
  </conditionalFormatting>
  <conditionalFormatting sqref="A148:B152">
    <cfRule type="duplicateValues" dxfId="29" priority="9"/>
    <cfRule type="duplicateValues" dxfId="28" priority="10"/>
  </conditionalFormatting>
  <conditionalFormatting sqref="A151">
    <cfRule type="duplicateValues" dxfId="27" priority="7"/>
  </conditionalFormatting>
  <conditionalFormatting sqref="B151">
    <cfRule type="duplicateValues" dxfId="26" priority="8"/>
  </conditionalFormatting>
  <conditionalFormatting sqref="A153:B153">
    <cfRule type="duplicateValues" dxfId="25" priority="6"/>
  </conditionalFormatting>
  <conditionalFormatting sqref="A153:B153">
    <cfRule type="duplicateValues" dxfId="24" priority="4"/>
    <cfRule type="duplicateValues" dxfId="23" priority="5"/>
  </conditionalFormatting>
  <conditionalFormatting sqref="A154:B154">
    <cfRule type="duplicateValues" dxfId="22" priority="3"/>
  </conditionalFormatting>
  <conditionalFormatting sqref="A154:B154">
    <cfRule type="duplicateValues" dxfId="21" priority="1"/>
    <cfRule type="duplicateValues" dxfId="20" priority="2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C4566-8304-415E-BC33-3C9EFBAEEC00}">
  <dimension ref="A1:N38"/>
  <sheetViews>
    <sheetView workbookViewId="0">
      <selection activeCell="B15" sqref="B15"/>
    </sheetView>
  </sheetViews>
  <sheetFormatPr defaultRowHeight="12.75" x14ac:dyDescent="0.2"/>
  <cols>
    <col min="1" max="1" width="12.5703125" style="26" customWidth="1"/>
    <col min="2" max="2" width="75.28515625" style="26" bestFit="1" customWidth="1"/>
    <col min="3" max="3" width="20.5703125" style="26" bestFit="1" customWidth="1"/>
    <col min="4" max="4" width="9.5703125" style="26" bestFit="1" customWidth="1"/>
    <col min="5" max="5" width="12.140625" style="26" bestFit="1" customWidth="1"/>
    <col min="6" max="6" width="10.140625" style="26" bestFit="1" customWidth="1"/>
    <col min="7" max="7" width="15.42578125" style="26" bestFit="1" customWidth="1"/>
    <col min="8" max="8" width="15.42578125" style="26" customWidth="1"/>
    <col min="9" max="9" width="19.5703125" style="26" bestFit="1" customWidth="1"/>
    <col min="10" max="10" width="20.140625" style="26" bestFit="1" customWidth="1"/>
    <col min="11" max="11" width="18.7109375" style="26" bestFit="1" customWidth="1"/>
    <col min="12" max="12" width="24.85546875" style="26" bestFit="1" customWidth="1"/>
    <col min="13" max="13" width="26.5703125" style="26" customWidth="1"/>
    <col min="14" max="14" width="79.5703125" style="26" customWidth="1"/>
    <col min="15" max="16384" width="9.140625" style="26"/>
  </cols>
  <sheetData>
    <row r="1" spans="1:14" x14ac:dyDescent="0.2">
      <c r="A1" s="2" t="s">
        <v>6</v>
      </c>
      <c r="B1" s="74" t="s">
        <v>7</v>
      </c>
      <c r="C1" s="2" t="s">
        <v>8</v>
      </c>
      <c r="D1" s="2" t="s">
        <v>80</v>
      </c>
      <c r="E1" s="2" t="s">
        <v>9</v>
      </c>
      <c r="F1" s="2" t="s">
        <v>10</v>
      </c>
      <c r="G1" s="2" t="s">
        <v>89</v>
      </c>
      <c r="H1" s="2" t="s">
        <v>463</v>
      </c>
      <c r="I1" s="2" t="s">
        <v>11</v>
      </c>
      <c r="J1" s="2" t="s">
        <v>90</v>
      </c>
      <c r="K1" s="2" t="s">
        <v>12</v>
      </c>
      <c r="L1" s="4" t="s">
        <v>13</v>
      </c>
      <c r="M1" s="4" t="s">
        <v>700</v>
      </c>
      <c r="N1" s="75" t="s">
        <v>14</v>
      </c>
    </row>
    <row r="2" spans="1:14" x14ac:dyDescent="0.2">
      <c r="A2" s="26" t="s">
        <v>103</v>
      </c>
      <c r="B2" s="26" t="s">
        <v>104</v>
      </c>
      <c r="C2" s="53" t="s">
        <v>74</v>
      </c>
      <c r="D2" s="54"/>
      <c r="E2" s="53">
        <v>6</v>
      </c>
      <c r="F2" s="53">
        <v>5</v>
      </c>
      <c r="G2" s="55" t="s">
        <v>87</v>
      </c>
      <c r="H2" s="55" t="s">
        <v>461</v>
      </c>
      <c r="I2" s="26" t="s">
        <v>85</v>
      </c>
      <c r="J2" s="26" t="s">
        <v>84</v>
      </c>
      <c r="K2" s="26" t="s">
        <v>92</v>
      </c>
      <c r="L2" s="55">
        <f>F2</f>
        <v>5</v>
      </c>
      <c r="M2" s="55">
        <f>L2*2.4</f>
        <v>12</v>
      </c>
    </row>
    <row r="3" spans="1:14" x14ac:dyDescent="0.2">
      <c r="A3" s="56" t="s">
        <v>21</v>
      </c>
      <c r="B3" s="40" t="s">
        <v>22</v>
      </c>
      <c r="C3" s="57" t="s">
        <v>74</v>
      </c>
      <c r="D3" s="53" t="s">
        <v>72</v>
      </c>
      <c r="E3" s="55">
        <v>2</v>
      </c>
      <c r="F3" s="55">
        <v>1</v>
      </c>
      <c r="G3" s="55" t="s">
        <v>87</v>
      </c>
      <c r="H3" s="55" t="s">
        <v>461</v>
      </c>
      <c r="I3" s="26" t="s">
        <v>85</v>
      </c>
      <c r="J3" s="26" t="s">
        <v>84</v>
      </c>
      <c r="K3" s="26" t="s">
        <v>92</v>
      </c>
      <c r="L3" s="55">
        <f t="shared" ref="L3:L29" si="0">F3</f>
        <v>1</v>
      </c>
      <c r="M3" s="55">
        <f t="shared" ref="M3:M29" si="1">L3*2.4</f>
        <v>2.4</v>
      </c>
    </row>
    <row r="4" spans="1:14" x14ac:dyDescent="0.2">
      <c r="A4" s="26" t="s">
        <v>105</v>
      </c>
      <c r="B4" s="26" t="s">
        <v>106</v>
      </c>
      <c r="C4" s="53" t="s">
        <v>74</v>
      </c>
      <c r="D4" s="58"/>
      <c r="E4" s="53">
        <v>2</v>
      </c>
      <c r="F4" s="53">
        <v>2</v>
      </c>
      <c r="G4" s="55" t="s">
        <v>87</v>
      </c>
      <c r="H4" s="55" t="s">
        <v>461</v>
      </c>
      <c r="I4" s="26" t="s">
        <v>85</v>
      </c>
      <c r="J4" s="26" t="s">
        <v>84</v>
      </c>
      <c r="K4" s="26" t="s">
        <v>92</v>
      </c>
      <c r="L4" s="55">
        <f t="shared" si="0"/>
        <v>2</v>
      </c>
      <c r="M4" s="55">
        <f t="shared" si="1"/>
        <v>4.8</v>
      </c>
    </row>
    <row r="5" spans="1:14" x14ac:dyDescent="0.2">
      <c r="A5" s="26" t="s">
        <v>107</v>
      </c>
      <c r="B5" s="26" t="s">
        <v>108</v>
      </c>
      <c r="C5" s="55" t="s">
        <v>157</v>
      </c>
      <c r="E5" s="55">
        <v>1</v>
      </c>
      <c r="F5" s="55">
        <v>1</v>
      </c>
      <c r="G5" s="55" t="s">
        <v>87</v>
      </c>
      <c r="H5" s="55" t="s">
        <v>461</v>
      </c>
      <c r="I5" s="26" t="s">
        <v>85</v>
      </c>
      <c r="J5" s="26" t="s">
        <v>82</v>
      </c>
      <c r="K5" s="26" t="s">
        <v>92</v>
      </c>
      <c r="L5" s="55">
        <f t="shared" si="0"/>
        <v>1</v>
      </c>
      <c r="M5" s="55">
        <f t="shared" si="1"/>
        <v>2.4</v>
      </c>
    </row>
    <row r="6" spans="1:14" x14ac:dyDescent="0.2">
      <c r="A6" s="56" t="s">
        <v>109</v>
      </c>
      <c r="B6" s="26" t="s">
        <v>110</v>
      </c>
      <c r="C6" s="45" t="s">
        <v>74</v>
      </c>
      <c r="D6" s="46"/>
      <c r="E6" s="46">
        <v>5</v>
      </c>
      <c r="F6" s="46">
        <v>4</v>
      </c>
      <c r="G6" s="55" t="s">
        <v>87</v>
      </c>
      <c r="H6" s="55" t="s">
        <v>461</v>
      </c>
      <c r="I6" s="26" t="s">
        <v>85</v>
      </c>
      <c r="J6" s="26" t="s">
        <v>83</v>
      </c>
      <c r="K6" s="26" t="s">
        <v>92</v>
      </c>
      <c r="L6" s="55">
        <f t="shared" si="0"/>
        <v>4</v>
      </c>
      <c r="M6" s="55">
        <f t="shared" si="1"/>
        <v>9.6</v>
      </c>
    </row>
    <row r="7" spans="1:14" x14ac:dyDescent="0.2">
      <c r="A7" s="56" t="s">
        <v>111</v>
      </c>
      <c r="B7" s="26" t="s">
        <v>112</v>
      </c>
      <c r="C7" s="47" t="s">
        <v>74</v>
      </c>
      <c r="D7" s="48"/>
      <c r="E7" s="48">
        <v>3</v>
      </c>
      <c r="F7" s="48">
        <v>2</v>
      </c>
      <c r="G7" s="55" t="s">
        <v>87</v>
      </c>
      <c r="H7" s="55" t="s">
        <v>461</v>
      </c>
      <c r="I7" s="26" t="s">
        <v>85</v>
      </c>
      <c r="J7" s="26" t="s">
        <v>84</v>
      </c>
      <c r="K7" s="26" t="s">
        <v>92</v>
      </c>
      <c r="L7" s="55">
        <f t="shared" si="0"/>
        <v>2</v>
      </c>
      <c r="M7" s="55">
        <f t="shared" si="1"/>
        <v>4.8</v>
      </c>
    </row>
    <row r="8" spans="1:14" x14ac:dyDescent="0.2">
      <c r="A8" s="41" t="s">
        <v>113</v>
      </c>
      <c r="B8" s="3" t="s">
        <v>114</v>
      </c>
      <c r="C8" s="57" t="s">
        <v>694</v>
      </c>
      <c r="D8" s="53" t="s">
        <v>72</v>
      </c>
      <c r="E8" s="55">
        <v>1</v>
      </c>
      <c r="F8" s="55">
        <v>1</v>
      </c>
      <c r="G8" s="55" t="s">
        <v>87</v>
      </c>
      <c r="H8" s="55" t="s">
        <v>461</v>
      </c>
      <c r="I8" s="26" t="s">
        <v>85</v>
      </c>
      <c r="J8" s="26" t="s">
        <v>82</v>
      </c>
      <c r="K8" s="26" t="s">
        <v>92</v>
      </c>
      <c r="L8" s="55">
        <f t="shared" si="0"/>
        <v>1</v>
      </c>
      <c r="M8" s="55">
        <f t="shared" si="1"/>
        <v>2.4</v>
      </c>
    </row>
    <row r="9" spans="1:14" x14ac:dyDescent="0.2">
      <c r="A9" s="56" t="s">
        <v>115</v>
      </c>
      <c r="B9" s="26" t="s">
        <v>116</v>
      </c>
      <c r="C9" s="47" t="s">
        <v>73</v>
      </c>
      <c r="D9" s="48" t="s">
        <v>72</v>
      </c>
      <c r="E9" s="48">
        <v>7</v>
      </c>
      <c r="F9" s="48">
        <v>7</v>
      </c>
      <c r="G9" s="55" t="s">
        <v>87</v>
      </c>
      <c r="H9" s="55" t="s">
        <v>461</v>
      </c>
      <c r="I9" s="26" t="s">
        <v>85</v>
      </c>
      <c r="J9" s="26" t="s">
        <v>82</v>
      </c>
      <c r="K9" s="26" t="s">
        <v>92</v>
      </c>
      <c r="L9" s="55">
        <f t="shared" si="0"/>
        <v>7</v>
      </c>
      <c r="M9" s="55">
        <f t="shared" si="1"/>
        <v>16.8</v>
      </c>
    </row>
    <row r="10" spans="1:14" x14ac:dyDescent="0.2">
      <c r="A10" s="26" t="s">
        <v>117</v>
      </c>
      <c r="B10" s="26" t="s">
        <v>118</v>
      </c>
      <c r="C10" s="55" t="s">
        <v>74</v>
      </c>
      <c r="E10" s="55">
        <v>4</v>
      </c>
      <c r="F10" s="55">
        <v>3</v>
      </c>
      <c r="G10" s="55" t="s">
        <v>87</v>
      </c>
      <c r="H10" s="55" t="s">
        <v>461</v>
      </c>
      <c r="I10" s="26" t="s">
        <v>85</v>
      </c>
      <c r="J10" s="26" t="s">
        <v>83</v>
      </c>
      <c r="K10" s="26" t="s">
        <v>92</v>
      </c>
      <c r="L10" s="55">
        <f t="shared" si="0"/>
        <v>3</v>
      </c>
      <c r="M10" s="55">
        <f t="shared" si="1"/>
        <v>7.1999999999999993</v>
      </c>
    </row>
    <row r="11" spans="1:14" x14ac:dyDescent="0.2">
      <c r="A11" s="41" t="s">
        <v>119</v>
      </c>
      <c r="B11" s="26" t="s">
        <v>120</v>
      </c>
      <c r="C11" s="48" t="s">
        <v>158</v>
      </c>
      <c r="D11" s="48" t="s">
        <v>72</v>
      </c>
      <c r="E11" s="48">
        <v>13</v>
      </c>
      <c r="F11" s="48">
        <v>13</v>
      </c>
      <c r="G11" s="49" t="s">
        <v>88</v>
      </c>
      <c r="H11" s="55" t="s">
        <v>461</v>
      </c>
      <c r="I11" s="26" t="s">
        <v>85</v>
      </c>
      <c r="J11" s="26" t="s">
        <v>82</v>
      </c>
      <c r="K11" s="26" t="s">
        <v>82</v>
      </c>
      <c r="L11" s="55">
        <f t="shared" si="0"/>
        <v>13</v>
      </c>
      <c r="M11" s="55">
        <f t="shared" si="1"/>
        <v>31.2</v>
      </c>
    </row>
    <row r="12" spans="1:14" x14ac:dyDescent="0.2">
      <c r="A12" s="59" t="s">
        <v>121</v>
      </c>
      <c r="B12" s="59" t="s">
        <v>122</v>
      </c>
      <c r="C12" s="60" t="s">
        <v>74</v>
      </c>
      <c r="D12" s="60" t="s">
        <v>78</v>
      </c>
      <c r="E12" s="60">
        <v>64</v>
      </c>
      <c r="F12" s="60">
        <v>64</v>
      </c>
      <c r="G12" s="50" t="s">
        <v>88</v>
      </c>
      <c r="H12" s="50" t="s">
        <v>462</v>
      </c>
      <c r="I12" s="59" t="s">
        <v>85</v>
      </c>
      <c r="J12" s="59" t="s">
        <v>83</v>
      </c>
      <c r="K12" s="59" t="s">
        <v>92</v>
      </c>
      <c r="L12" s="60">
        <f>F12*0.25</f>
        <v>16</v>
      </c>
      <c r="M12" s="60">
        <f t="shared" si="1"/>
        <v>38.4</v>
      </c>
      <c r="N12" s="59" t="s">
        <v>167</v>
      </c>
    </row>
    <row r="13" spans="1:14" x14ac:dyDescent="0.2">
      <c r="A13" s="41" t="s">
        <v>123</v>
      </c>
      <c r="B13" s="26" t="s">
        <v>124</v>
      </c>
      <c r="C13" s="47" t="s">
        <v>159</v>
      </c>
      <c r="D13" s="48"/>
      <c r="E13" s="48">
        <v>4</v>
      </c>
      <c r="F13" s="48">
        <v>3</v>
      </c>
      <c r="G13" s="55" t="s">
        <v>87</v>
      </c>
      <c r="H13" s="55" t="s">
        <v>461</v>
      </c>
      <c r="I13" s="26" t="s">
        <v>85</v>
      </c>
      <c r="J13" s="26" t="s">
        <v>83</v>
      </c>
      <c r="K13" s="26" t="s">
        <v>92</v>
      </c>
      <c r="L13" s="55">
        <f t="shared" si="0"/>
        <v>3</v>
      </c>
      <c r="M13" s="55">
        <f t="shared" si="1"/>
        <v>7.1999999999999993</v>
      </c>
    </row>
    <row r="14" spans="1:14" x14ac:dyDescent="0.2">
      <c r="A14" s="26" t="s">
        <v>125</v>
      </c>
      <c r="B14" s="26" t="s">
        <v>126</v>
      </c>
      <c r="C14" s="53" t="s">
        <v>160</v>
      </c>
      <c r="D14" s="58"/>
      <c r="E14" s="53">
        <v>2</v>
      </c>
      <c r="F14" s="53">
        <v>2</v>
      </c>
      <c r="G14" s="55" t="s">
        <v>87</v>
      </c>
      <c r="H14" s="55" t="s">
        <v>461</v>
      </c>
      <c r="I14" s="26" t="s">
        <v>85</v>
      </c>
      <c r="J14" s="26" t="s">
        <v>84</v>
      </c>
      <c r="K14" s="26" t="s">
        <v>92</v>
      </c>
      <c r="L14" s="55">
        <f t="shared" si="0"/>
        <v>2</v>
      </c>
      <c r="M14" s="55">
        <f t="shared" si="1"/>
        <v>4.8</v>
      </c>
    </row>
    <row r="15" spans="1:14" x14ac:dyDescent="0.2">
      <c r="A15" s="26" t="s">
        <v>127</v>
      </c>
      <c r="B15" s="26" t="s">
        <v>128</v>
      </c>
      <c r="C15" s="53"/>
      <c r="D15" s="58"/>
      <c r="E15" s="61">
        <v>2</v>
      </c>
      <c r="F15" s="61">
        <v>2</v>
      </c>
      <c r="G15" s="55" t="s">
        <v>87</v>
      </c>
      <c r="H15" s="55" t="s">
        <v>461</v>
      </c>
      <c r="I15" s="26" t="s">
        <v>85</v>
      </c>
      <c r="J15" s="26" t="s">
        <v>83</v>
      </c>
      <c r="K15" s="26" t="s">
        <v>92</v>
      </c>
      <c r="L15" s="55">
        <f t="shared" si="0"/>
        <v>2</v>
      </c>
      <c r="M15" s="55">
        <f t="shared" si="1"/>
        <v>4.8</v>
      </c>
    </row>
    <row r="16" spans="1:14" x14ac:dyDescent="0.2">
      <c r="A16" s="26" t="s">
        <v>129</v>
      </c>
      <c r="B16" s="26" t="s">
        <v>130</v>
      </c>
      <c r="C16" s="55"/>
      <c r="E16" s="55">
        <v>1</v>
      </c>
      <c r="F16" s="55">
        <v>1</v>
      </c>
      <c r="G16" s="55" t="s">
        <v>87</v>
      </c>
      <c r="H16" s="55" t="s">
        <v>461</v>
      </c>
      <c r="I16" s="26" t="s">
        <v>85</v>
      </c>
      <c r="J16" s="26" t="s">
        <v>83</v>
      </c>
      <c r="K16" s="26" t="s">
        <v>92</v>
      </c>
      <c r="L16" s="55">
        <f t="shared" si="0"/>
        <v>1</v>
      </c>
      <c r="M16" s="55">
        <f t="shared" si="1"/>
        <v>2.4</v>
      </c>
    </row>
    <row r="17" spans="1:14" x14ac:dyDescent="0.2">
      <c r="A17" s="26" t="s">
        <v>131</v>
      </c>
      <c r="B17" s="26" t="s">
        <v>132</v>
      </c>
      <c r="C17" s="55" t="s">
        <v>161</v>
      </c>
      <c r="E17" s="55">
        <v>7</v>
      </c>
      <c r="F17" s="55">
        <v>7</v>
      </c>
      <c r="G17" s="55" t="s">
        <v>87</v>
      </c>
      <c r="H17" s="55" t="s">
        <v>461</v>
      </c>
      <c r="I17" s="26" t="s">
        <v>85</v>
      </c>
      <c r="J17" s="26" t="s">
        <v>83</v>
      </c>
      <c r="K17" s="26" t="s">
        <v>92</v>
      </c>
      <c r="L17" s="55">
        <f t="shared" si="0"/>
        <v>7</v>
      </c>
      <c r="M17" s="55">
        <f t="shared" si="1"/>
        <v>16.8</v>
      </c>
    </row>
    <row r="18" spans="1:14" x14ac:dyDescent="0.2">
      <c r="A18" s="26" t="s">
        <v>133</v>
      </c>
      <c r="B18" s="26" t="s">
        <v>134</v>
      </c>
      <c r="C18" s="55" t="s">
        <v>74</v>
      </c>
      <c r="E18" s="55">
        <v>1</v>
      </c>
      <c r="F18" s="55">
        <v>1</v>
      </c>
      <c r="G18" s="55" t="s">
        <v>87</v>
      </c>
      <c r="H18" s="55" t="s">
        <v>461</v>
      </c>
      <c r="I18" s="26" t="s">
        <v>85</v>
      </c>
      <c r="J18" s="26" t="s">
        <v>83</v>
      </c>
      <c r="K18" s="26" t="s">
        <v>92</v>
      </c>
      <c r="L18" s="55">
        <f t="shared" si="0"/>
        <v>1</v>
      </c>
      <c r="M18" s="55">
        <f t="shared" si="1"/>
        <v>2.4</v>
      </c>
    </row>
    <row r="19" spans="1:14" x14ac:dyDescent="0.2">
      <c r="A19" s="26" t="s">
        <v>135</v>
      </c>
      <c r="B19" s="26" t="s">
        <v>136</v>
      </c>
      <c r="C19" s="55" t="s">
        <v>162</v>
      </c>
      <c r="E19" s="55">
        <v>1</v>
      </c>
      <c r="F19" s="55">
        <v>1</v>
      </c>
      <c r="G19" s="55" t="s">
        <v>87</v>
      </c>
      <c r="H19" s="55" t="s">
        <v>461</v>
      </c>
      <c r="I19" s="26" t="s">
        <v>85</v>
      </c>
      <c r="J19" s="26" t="s">
        <v>84</v>
      </c>
      <c r="K19" s="26" t="s">
        <v>92</v>
      </c>
      <c r="L19" s="55">
        <f t="shared" si="0"/>
        <v>1</v>
      </c>
      <c r="M19" s="55">
        <f t="shared" si="1"/>
        <v>2.4</v>
      </c>
    </row>
    <row r="20" spans="1:14" x14ac:dyDescent="0.2">
      <c r="A20" s="26" t="s">
        <v>137</v>
      </c>
      <c r="B20" s="26" t="s">
        <v>138</v>
      </c>
      <c r="C20" s="53"/>
      <c r="D20" s="58"/>
      <c r="E20" s="53">
        <v>1</v>
      </c>
      <c r="F20" s="53">
        <v>1</v>
      </c>
      <c r="G20" s="55" t="s">
        <v>87</v>
      </c>
      <c r="H20" s="55" t="s">
        <v>461</v>
      </c>
      <c r="I20" s="26" t="s">
        <v>85</v>
      </c>
      <c r="J20" s="26" t="s">
        <v>83</v>
      </c>
      <c r="K20" s="26" t="s">
        <v>92</v>
      </c>
      <c r="L20" s="55">
        <f t="shared" si="0"/>
        <v>1</v>
      </c>
      <c r="M20" s="55">
        <f t="shared" si="1"/>
        <v>2.4</v>
      </c>
    </row>
    <row r="21" spans="1:14" x14ac:dyDescent="0.2">
      <c r="A21" s="26" t="s">
        <v>139</v>
      </c>
      <c r="B21" s="26" t="s">
        <v>140</v>
      </c>
      <c r="C21" s="47" t="s">
        <v>74</v>
      </c>
      <c r="D21" s="51"/>
      <c r="E21" s="48">
        <v>1</v>
      </c>
      <c r="F21" s="48">
        <v>1</v>
      </c>
      <c r="G21" s="55" t="s">
        <v>87</v>
      </c>
      <c r="H21" s="55" t="s">
        <v>461</v>
      </c>
      <c r="I21" s="26" t="s">
        <v>85</v>
      </c>
      <c r="J21" s="26" t="s">
        <v>82</v>
      </c>
      <c r="K21" s="26" t="s">
        <v>92</v>
      </c>
      <c r="L21" s="55">
        <f t="shared" si="0"/>
        <v>1</v>
      </c>
      <c r="M21" s="55">
        <f t="shared" si="1"/>
        <v>2.4</v>
      </c>
    </row>
    <row r="22" spans="1:14" x14ac:dyDescent="0.2">
      <c r="A22" s="26" t="s">
        <v>141</v>
      </c>
      <c r="B22" s="26" t="s">
        <v>142</v>
      </c>
      <c r="C22" s="47" t="s">
        <v>74</v>
      </c>
      <c r="D22" s="51"/>
      <c r="E22" s="48">
        <v>28</v>
      </c>
      <c r="F22" s="48">
        <v>19</v>
      </c>
      <c r="G22" s="49" t="s">
        <v>88</v>
      </c>
      <c r="H22" s="55" t="s">
        <v>461</v>
      </c>
      <c r="I22" s="26" t="s">
        <v>85</v>
      </c>
      <c r="J22" s="26" t="s">
        <v>83</v>
      </c>
      <c r="K22" s="26" t="s">
        <v>92</v>
      </c>
      <c r="L22" s="55">
        <f t="shared" si="0"/>
        <v>19</v>
      </c>
      <c r="M22" s="55">
        <f t="shared" si="1"/>
        <v>45.6</v>
      </c>
    </row>
    <row r="23" spans="1:14" x14ac:dyDescent="0.2">
      <c r="A23" s="62" t="s">
        <v>143</v>
      </c>
      <c r="B23" s="62" t="s">
        <v>144</v>
      </c>
      <c r="C23" s="63" t="s">
        <v>74</v>
      </c>
      <c r="D23" s="64"/>
      <c r="E23" s="63">
        <v>67</v>
      </c>
      <c r="F23" s="63">
        <v>66</v>
      </c>
      <c r="G23" s="52" t="s">
        <v>88</v>
      </c>
      <c r="H23" s="52" t="s">
        <v>462</v>
      </c>
      <c r="I23" s="62" t="s">
        <v>164</v>
      </c>
      <c r="J23" s="62" t="s">
        <v>84</v>
      </c>
      <c r="K23" s="62" t="s">
        <v>84</v>
      </c>
      <c r="L23" s="65">
        <f>F23*0.25</f>
        <v>16.5</v>
      </c>
      <c r="M23" s="65">
        <f t="shared" si="1"/>
        <v>39.6</v>
      </c>
      <c r="N23" s="62" t="s">
        <v>165</v>
      </c>
    </row>
    <row r="24" spans="1:14" x14ac:dyDescent="0.2">
      <c r="A24" s="26" t="s">
        <v>145</v>
      </c>
      <c r="B24" s="26" t="s">
        <v>146</v>
      </c>
      <c r="C24" s="53" t="s">
        <v>74</v>
      </c>
      <c r="D24" s="58"/>
      <c r="E24" s="53">
        <v>1</v>
      </c>
      <c r="F24" s="53">
        <v>1</v>
      </c>
      <c r="G24" s="55" t="s">
        <v>87</v>
      </c>
      <c r="H24" s="55" t="s">
        <v>461</v>
      </c>
      <c r="I24" s="26" t="s">
        <v>85</v>
      </c>
      <c r="J24" s="26" t="s">
        <v>84</v>
      </c>
      <c r="K24" s="26" t="s">
        <v>92</v>
      </c>
      <c r="L24" s="55">
        <f t="shared" si="0"/>
        <v>1</v>
      </c>
      <c r="M24" s="55">
        <f t="shared" si="1"/>
        <v>2.4</v>
      </c>
    </row>
    <row r="25" spans="1:14" x14ac:dyDescent="0.2">
      <c r="A25" s="26" t="s">
        <v>147</v>
      </c>
      <c r="B25" s="26" t="s">
        <v>148</v>
      </c>
      <c r="C25" s="53" t="s">
        <v>74</v>
      </c>
      <c r="D25" s="58"/>
      <c r="E25" s="53">
        <v>1</v>
      </c>
      <c r="F25" s="53">
        <v>1</v>
      </c>
      <c r="G25" s="55" t="s">
        <v>87</v>
      </c>
      <c r="H25" s="55" t="s">
        <v>461</v>
      </c>
      <c r="I25" s="26" t="s">
        <v>85</v>
      </c>
      <c r="J25" s="26" t="s">
        <v>83</v>
      </c>
      <c r="K25" s="26" t="s">
        <v>92</v>
      </c>
      <c r="L25" s="55">
        <f t="shared" si="0"/>
        <v>1</v>
      </c>
      <c r="M25" s="55">
        <f t="shared" si="1"/>
        <v>2.4</v>
      </c>
    </row>
    <row r="26" spans="1:14" x14ac:dyDescent="0.2">
      <c r="A26" s="59" t="s">
        <v>149</v>
      </c>
      <c r="B26" s="59" t="s">
        <v>150</v>
      </c>
      <c r="C26" s="60"/>
      <c r="D26" s="60" t="s">
        <v>78</v>
      </c>
      <c r="E26" s="60">
        <v>43</v>
      </c>
      <c r="F26" s="60">
        <v>43</v>
      </c>
      <c r="G26" s="50" t="s">
        <v>88</v>
      </c>
      <c r="H26" s="50" t="s">
        <v>461</v>
      </c>
      <c r="I26" s="59" t="s">
        <v>85</v>
      </c>
      <c r="J26" s="59" t="s">
        <v>82</v>
      </c>
      <c r="K26" s="59" t="s">
        <v>82</v>
      </c>
      <c r="L26" s="60">
        <v>43</v>
      </c>
      <c r="M26" s="60">
        <f t="shared" si="1"/>
        <v>103.2</v>
      </c>
      <c r="N26" s="59" t="s">
        <v>166</v>
      </c>
    </row>
    <row r="27" spans="1:14" x14ac:dyDescent="0.2">
      <c r="A27" s="59" t="s">
        <v>151</v>
      </c>
      <c r="B27" s="59" t="s">
        <v>152</v>
      </c>
      <c r="C27" s="66" t="s">
        <v>163</v>
      </c>
      <c r="D27" s="66" t="s">
        <v>78</v>
      </c>
      <c r="E27" s="66">
        <v>112</v>
      </c>
      <c r="F27" s="66">
        <v>111</v>
      </c>
      <c r="G27" s="50" t="s">
        <v>88</v>
      </c>
      <c r="H27" s="50" t="s">
        <v>462</v>
      </c>
      <c r="I27" s="59" t="s">
        <v>85</v>
      </c>
      <c r="J27" s="59" t="s">
        <v>84</v>
      </c>
      <c r="K27" s="59" t="s">
        <v>84</v>
      </c>
      <c r="L27" s="60">
        <f>F27*0.25</f>
        <v>27.75</v>
      </c>
      <c r="M27" s="60">
        <f t="shared" si="1"/>
        <v>66.599999999999994</v>
      </c>
      <c r="N27" s="59" t="s">
        <v>167</v>
      </c>
    </row>
    <row r="28" spans="1:14" x14ac:dyDescent="0.2">
      <c r="A28" s="26" t="s">
        <v>153</v>
      </c>
      <c r="B28" s="26" t="s">
        <v>154</v>
      </c>
      <c r="C28" s="55"/>
      <c r="E28" s="55">
        <v>1</v>
      </c>
      <c r="F28" s="55">
        <v>1</v>
      </c>
      <c r="G28" s="55" t="s">
        <v>87</v>
      </c>
      <c r="H28" s="55" t="s">
        <v>461</v>
      </c>
      <c r="I28" s="26" t="s">
        <v>85</v>
      </c>
      <c r="J28" s="26" t="s">
        <v>84</v>
      </c>
      <c r="K28" s="26" t="s">
        <v>92</v>
      </c>
      <c r="L28" s="55">
        <f t="shared" si="0"/>
        <v>1</v>
      </c>
      <c r="M28" s="55">
        <f t="shared" si="1"/>
        <v>2.4</v>
      </c>
    </row>
    <row r="29" spans="1:14" x14ac:dyDescent="0.2">
      <c r="A29" s="26" t="s">
        <v>155</v>
      </c>
      <c r="B29" s="26" t="s">
        <v>156</v>
      </c>
      <c r="C29" s="53" t="s">
        <v>74</v>
      </c>
      <c r="D29" s="54"/>
      <c r="E29" s="53">
        <v>1</v>
      </c>
      <c r="F29" s="53">
        <v>1</v>
      </c>
      <c r="G29" s="55" t="s">
        <v>87</v>
      </c>
      <c r="H29" s="55" t="s">
        <v>461</v>
      </c>
      <c r="I29" s="26" t="s">
        <v>85</v>
      </c>
      <c r="J29" s="26" t="s">
        <v>83</v>
      </c>
      <c r="K29" s="26" t="s">
        <v>92</v>
      </c>
      <c r="L29" s="55">
        <f t="shared" si="0"/>
        <v>1</v>
      </c>
      <c r="M29" s="55">
        <f t="shared" si="1"/>
        <v>2.4</v>
      </c>
    </row>
    <row r="30" spans="1:14" x14ac:dyDescent="0.2">
      <c r="A30" s="26" t="s">
        <v>728</v>
      </c>
      <c r="B30" s="26" t="s">
        <v>729</v>
      </c>
      <c r="C30" s="55" t="s">
        <v>75</v>
      </c>
      <c r="D30" s="55"/>
      <c r="E30" s="55">
        <v>2</v>
      </c>
      <c r="F30" s="55">
        <v>2</v>
      </c>
      <c r="G30" s="55" t="s">
        <v>87</v>
      </c>
      <c r="H30" s="55" t="s">
        <v>461</v>
      </c>
      <c r="I30" s="56" t="s">
        <v>85</v>
      </c>
      <c r="J30" s="26" t="s">
        <v>730</v>
      </c>
      <c r="K30" s="26" t="s">
        <v>92</v>
      </c>
      <c r="L30" s="55">
        <f t="shared" ref="L30:L31" si="2">F30</f>
        <v>2</v>
      </c>
      <c r="M30" s="55">
        <v>4.8</v>
      </c>
    </row>
    <row r="31" spans="1:14" x14ac:dyDescent="0.2">
      <c r="A31" s="26" t="s">
        <v>731</v>
      </c>
      <c r="B31" s="26" t="s">
        <v>732</v>
      </c>
      <c r="C31" s="55"/>
      <c r="D31" s="55"/>
      <c r="E31" s="55">
        <v>2</v>
      </c>
      <c r="F31" s="55">
        <v>1</v>
      </c>
      <c r="G31" s="55" t="s">
        <v>87</v>
      </c>
      <c r="H31" s="55" t="s">
        <v>461</v>
      </c>
      <c r="I31" s="56" t="s">
        <v>85</v>
      </c>
      <c r="J31" s="26" t="s">
        <v>730</v>
      </c>
      <c r="K31" s="26" t="s">
        <v>92</v>
      </c>
      <c r="L31" s="55">
        <f t="shared" si="2"/>
        <v>1</v>
      </c>
      <c r="M31" s="55">
        <v>2.4</v>
      </c>
    </row>
    <row r="33" spans="1:13" x14ac:dyDescent="0.2">
      <c r="A33" s="38" t="s">
        <v>0</v>
      </c>
      <c r="E33" s="25">
        <f>SUM(E2:E31)</f>
        <v>386</v>
      </c>
      <c r="F33" s="25">
        <f>SUM(F2:F31)</f>
        <v>368</v>
      </c>
      <c r="L33" s="25">
        <f>SUM(L2:L31)</f>
        <v>187.25</v>
      </c>
      <c r="M33" s="25">
        <f>SUM(M2:M31)</f>
        <v>449.39999999999992</v>
      </c>
    </row>
    <row r="34" spans="1:13" x14ac:dyDescent="0.2">
      <c r="A34" s="38"/>
      <c r="C34" s="25" t="s">
        <v>580</v>
      </c>
      <c r="D34" s="25" t="s">
        <v>581</v>
      </c>
    </row>
    <row r="35" spans="1:13" x14ac:dyDescent="0.2">
      <c r="A35" s="38" t="s">
        <v>471</v>
      </c>
      <c r="C35" s="25">
        <v>56</v>
      </c>
      <c r="D35" s="120">
        <f>C35*2.4</f>
        <v>134.4</v>
      </c>
    </row>
    <row r="36" spans="1:13" x14ac:dyDescent="0.2">
      <c r="A36" s="38" t="s">
        <v>101</v>
      </c>
      <c r="C36" s="120">
        <v>44.25</v>
      </c>
      <c r="D36" s="120">
        <f t="shared" ref="D36:D38" si="3">C36*2.4</f>
        <v>106.2</v>
      </c>
    </row>
    <row r="37" spans="1:13" x14ac:dyDescent="0.2">
      <c r="A37" s="38" t="s">
        <v>102</v>
      </c>
      <c r="C37" s="25">
        <v>35</v>
      </c>
      <c r="D37" s="120">
        <f t="shared" si="3"/>
        <v>84</v>
      </c>
    </row>
    <row r="38" spans="1:13" x14ac:dyDescent="0.2">
      <c r="A38" s="38" t="s">
        <v>91</v>
      </c>
      <c r="C38" s="25">
        <v>52</v>
      </c>
      <c r="D38" s="120">
        <f t="shared" si="3"/>
        <v>124.8</v>
      </c>
    </row>
  </sheetData>
  <sheetProtection algorithmName="SHA-512" hashValue="e3sOtXqLdmlwFLPeoFXF0icqHGLZtMSl8qiAaZvgRI9l7XBMyaI5gq/+f1FbRaM4WcwtaP6Ba9C7UndJdm94nA==" saltValue="BKQUfvXPKi4xKuxiprwdSg==" spinCount="100000" sheet="1" objects="1" scenarios="1"/>
  <autoFilter ref="A1:N31" xr:uid="{219C4566-8304-415E-BC33-3C9EFBAEEC00}"/>
  <conditionalFormatting sqref="A22">
    <cfRule type="duplicateValues" dxfId="19" priority="8"/>
  </conditionalFormatting>
  <conditionalFormatting sqref="B22">
    <cfRule type="duplicateValues" dxfId="18" priority="9"/>
  </conditionalFormatting>
  <conditionalFormatting sqref="A23">
    <cfRule type="duplicateValues" dxfId="17" priority="6"/>
  </conditionalFormatting>
  <conditionalFormatting sqref="B23">
    <cfRule type="duplicateValues" dxfId="16" priority="7"/>
  </conditionalFormatting>
  <conditionalFormatting sqref="A30:A31">
    <cfRule type="duplicateValues" dxfId="15" priority="5"/>
  </conditionalFormatting>
  <conditionalFormatting sqref="B30:B31">
    <cfRule type="duplicateValues" dxfId="14" priority="4"/>
  </conditionalFormatting>
  <conditionalFormatting sqref="A30:B31">
    <cfRule type="duplicateValues" dxfId="13" priority="3"/>
  </conditionalFormatting>
  <conditionalFormatting sqref="A30:B31">
    <cfRule type="duplicateValues" dxfId="12" priority="1"/>
    <cfRule type="duplicateValues" dxfId="11" priority="2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AD77F-2349-44FB-87DB-59BCE668CB56}">
  <dimension ref="A1:Q53"/>
  <sheetViews>
    <sheetView topLeftCell="E1" workbookViewId="0">
      <pane ySplit="1" topLeftCell="A2" activePane="bottomLeft" state="frozen"/>
      <selection pane="bottomLeft" activeCell="F12" sqref="F12"/>
    </sheetView>
  </sheetViews>
  <sheetFormatPr defaultRowHeight="12.75" x14ac:dyDescent="0.2"/>
  <cols>
    <col min="1" max="1" width="12.85546875" style="26" customWidth="1"/>
    <col min="2" max="2" width="86.85546875" style="26" customWidth="1"/>
    <col min="3" max="3" width="20.5703125" style="26" customWidth="1"/>
    <col min="4" max="4" width="9.85546875" style="26" customWidth="1"/>
    <col min="5" max="5" width="12.140625" style="26" customWidth="1"/>
    <col min="6" max="6" width="10.140625" style="26" customWidth="1"/>
    <col min="7" max="8" width="17.5703125" style="26" customWidth="1"/>
    <col min="9" max="9" width="16.28515625" style="26" customWidth="1"/>
    <col min="10" max="10" width="18" style="26" customWidth="1"/>
    <col min="11" max="11" width="13.7109375" style="26" customWidth="1"/>
    <col min="12" max="12" width="19.5703125" style="26" customWidth="1"/>
    <col min="13" max="14" width="20.140625" style="26" customWidth="1"/>
    <col min="15" max="15" width="24.85546875" style="26" bestFit="1" customWidth="1"/>
    <col min="16" max="16" width="24.85546875" style="26" customWidth="1"/>
    <col min="17" max="17" width="89.85546875" style="26" bestFit="1" customWidth="1"/>
    <col min="18" max="16384" width="9.140625" style="26"/>
  </cols>
  <sheetData>
    <row r="1" spans="1:17" x14ac:dyDescent="0.2">
      <c r="A1" s="2" t="s">
        <v>6</v>
      </c>
      <c r="B1" s="74" t="s">
        <v>7</v>
      </c>
      <c r="C1" s="2" t="s">
        <v>8</v>
      </c>
      <c r="D1" s="2" t="s">
        <v>80</v>
      </c>
      <c r="E1" s="2" t="s">
        <v>9</v>
      </c>
      <c r="F1" s="2" t="s">
        <v>10</v>
      </c>
      <c r="G1" s="2" t="s">
        <v>89</v>
      </c>
      <c r="H1" s="2" t="s">
        <v>463</v>
      </c>
      <c r="I1" s="2" t="s">
        <v>16</v>
      </c>
      <c r="J1" s="25" t="s">
        <v>15</v>
      </c>
      <c r="K1" s="25" t="s">
        <v>81</v>
      </c>
      <c r="L1" s="2" t="s">
        <v>11</v>
      </c>
      <c r="M1" s="2" t="s">
        <v>90</v>
      </c>
      <c r="N1" s="2" t="s">
        <v>12</v>
      </c>
      <c r="O1" s="4" t="s">
        <v>13</v>
      </c>
      <c r="P1" s="4" t="s">
        <v>701</v>
      </c>
      <c r="Q1" s="75" t="s">
        <v>14</v>
      </c>
    </row>
    <row r="2" spans="1:17" x14ac:dyDescent="0.2">
      <c r="A2" s="27" t="s">
        <v>17</v>
      </c>
      <c r="B2" s="28" t="s">
        <v>18</v>
      </c>
      <c r="C2" s="27" t="s">
        <v>71</v>
      </c>
      <c r="D2" s="27" t="s">
        <v>72</v>
      </c>
      <c r="E2" s="27">
        <v>5</v>
      </c>
      <c r="F2" s="27">
        <v>5</v>
      </c>
      <c r="G2" s="27" t="s">
        <v>87</v>
      </c>
      <c r="H2" s="27" t="s">
        <v>461</v>
      </c>
      <c r="I2" s="29">
        <v>44743</v>
      </c>
      <c r="J2" s="27" t="s">
        <v>584</v>
      </c>
      <c r="K2" s="30">
        <v>45858</v>
      </c>
      <c r="L2" s="31" t="s">
        <v>85</v>
      </c>
      <c r="M2" s="31" t="s">
        <v>82</v>
      </c>
      <c r="N2" s="31" t="s">
        <v>92</v>
      </c>
      <c r="O2" s="27">
        <f>F2</f>
        <v>5</v>
      </c>
      <c r="P2" s="27">
        <f>O2*2.4</f>
        <v>12</v>
      </c>
      <c r="Q2" s="32"/>
    </row>
    <row r="3" spans="1:17" x14ac:dyDescent="0.2">
      <c r="A3" s="5" t="s">
        <v>19</v>
      </c>
      <c r="B3" s="6" t="s">
        <v>20</v>
      </c>
      <c r="C3" s="10" t="s">
        <v>73</v>
      </c>
      <c r="D3" s="10" t="s">
        <v>72</v>
      </c>
      <c r="E3" s="10">
        <v>1</v>
      </c>
      <c r="F3" s="10">
        <v>1</v>
      </c>
      <c r="G3" s="27" t="s">
        <v>87</v>
      </c>
      <c r="H3" s="27" t="s">
        <v>461</v>
      </c>
      <c r="I3" s="11">
        <v>44796</v>
      </c>
      <c r="J3" s="27" t="s">
        <v>584</v>
      </c>
      <c r="K3" s="12">
        <v>45892</v>
      </c>
      <c r="L3" s="31" t="s">
        <v>85</v>
      </c>
      <c r="M3" s="13" t="s">
        <v>83</v>
      </c>
      <c r="N3" s="31" t="s">
        <v>92</v>
      </c>
      <c r="O3" s="27">
        <f t="shared" ref="O3:O27" si="0">F3</f>
        <v>1</v>
      </c>
      <c r="P3" s="27">
        <f t="shared" ref="P3:P37" si="1">O3*2.4</f>
        <v>2.4</v>
      </c>
      <c r="Q3" s="14"/>
    </row>
    <row r="4" spans="1:17" x14ac:dyDescent="0.2">
      <c r="A4" s="7" t="s">
        <v>23</v>
      </c>
      <c r="B4" s="6" t="s">
        <v>24</v>
      </c>
      <c r="C4" s="10" t="s">
        <v>73</v>
      </c>
      <c r="D4" s="10" t="s">
        <v>72</v>
      </c>
      <c r="E4" s="10">
        <v>2</v>
      </c>
      <c r="F4" s="10">
        <v>1</v>
      </c>
      <c r="G4" s="27" t="s">
        <v>87</v>
      </c>
      <c r="H4" s="27" t="s">
        <v>461</v>
      </c>
      <c r="I4" s="11">
        <v>44897</v>
      </c>
      <c r="J4" s="27" t="s">
        <v>584</v>
      </c>
      <c r="K4" s="12">
        <v>45993</v>
      </c>
      <c r="L4" s="31" t="s">
        <v>85</v>
      </c>
      <c r="M4" s="13" t="s">
        <v>84</v>
      </c>
      <c r="N4" s="31" t="s">
        <v>92</v>
      </c>
      <c r="O4" s="27">
        <f t="shared" si="0"/>
        <v>1</v>
      </c>
      <c r="P4" s="27">
        <f t="shared" si="1"/>
        <v>2.4</v>
      </c>
      <c r="Q4" s="14"/>
    </row>
    <row r="5" spans="1:17" x14ac:dyDescent="0.2">
      <c r="A5" s="8" t="s">
        <v>25</v>
      </c>
      <c r="B5" s="15" t="s">
        <v>26</v>
      </c>
      <c r="C5" s="16" t="s">
        <v>74</v>
      </c>
      <c r="D5" s="16"/>
      <c r="E5" s="16">
        <v>2</v>
      </c>
      <c r="F5" s="16">
        <v>1</v>
      </c>
      <c r="G5" s="27" t="s">
        <v>87</v>
      </c>
      <c r="H5" s="27" t="s">
        <v>461</v>
      </c>
      <c r="I5" s="17">
        <v>44340</v>
      </c>
      <c r="J5" s="27" t="s">
        <v>585</v>
      </c>
      <c r="K5" s="12">
        <f>DATE(YEAR(I5)+3,MONTH(I5),DAY(I5))</f>
        <v>45436</v>
      </c>
      <c r="L5" s="31" t="s">
        <v>85</v>
      </c>
      <c r="M5" s="15" t="s">
        <v>84</v>
      </c>
      <c r="N5" s="31" t="s">
        <v>92</v>
      </c>
      <c r="O5" s="27">
        <f t="shared" si="0"/>
        <v>1</v>
      </c>
      <c r="P5" s="27">
        <f t="shared" si="1"/>
        <v>2.4</v>
      </c>
      <c r="Q5" s="16"/>
    </row>
    <row r="6" spans="1:17" x14ac:dyDescent="0.2">
      <c r="A6" s="27" t="s">
        <v>27</v>
      </c>
      <c r="B6" s="32" t="s">
        <v>28</v>
      </c>
      <c r="C6" s="27" t="s">
        <v>76</v>
      </c>
      <c r="D6" s="27" t="s">
        <v>72</v>
      </c>
      <c r="E6" s="27">
        <v>10</v>
      </c>
      <c r="F6" s="27">
        <v>10</v>
      </c>
      <c r="G6" s="27" t="s">
        <v>88</v>
      </c>
      <c r="H6" s="27" t="s">
        <v>461</v>
      </c>
      <c r="I6" s="29">
        <v>44743</v>
      </c>
      <c r="J6" s="27" t="s">
        <v>584</v>
      </c>
      <c r="K6" s="30">
        <v>45839</v>
      </c>
      <c r="L6" s="31" t="s">
        <v>85</v>
      </c>
      <c r="M6" s="31" t="s">
        <v>83</v>
      </c>
      <c r="N6" s="31" t="s">
        <v>92</v>
      </c>
      <c r="O6" s="27">
        <f t="shared" si="0"/>
        <v>10</v>
      </c>
      <c r="P6" s="27">
        <f t="shared" si="1"/>
        <v>24</v>
      </c>
      <c r="Q6" s="32"/>
    </row>
    <row r="7" spans="1:17" x14ac:dyDescent="0.2">
      <c r="A7" s="27" t="s">
        <v>29</v>
      </c>
      <c r="B7" s="32" t="s">
        <v>30</v>
      </c>
      <c r="C7" s="27" t="s">
        <v>75</v>
      </c>
      <c r="D7" s="27"/>
      <c r="E7" s="27">
        <v>38</v>
      </c>
      <c r="F7" s="27">
        <v>38</v>
      </c>
      <c r="G7" s="27" t="s">
        <v>88</v>
      </c>
      <c r="H7" s="27" t="s">
        <v>461</v>
      </c>
      <c r="I7" s="29">
        <v>44470</v>
      </c>
      <c r="J7" s="27" t="s">
        <v>585</v>
      </c>
      <c r="K7" s="30">
        <v>45580</v>
      </c>
      <c r="L7" s="31" t="s">
        <v>85</v>
      </c>
      <c r="M7" s="31" t="s">
        <v>82</v>
      </c>
      <c r="N7" s="31" t="s">
        <v>82</v>
      </c>
      <c r="O7" s="27">
        <f t="shared" si="0"/>
        <v>38</v>
      </c>
      <c r="P7" s="27">
        <f t="shared" si="1"/>
        <v>91.2</v>
      </c>
      <c r="Q7" s="32"/>
    </row>
    <row r="8" spans="1:17" x14ac:dyDescent="0.2">
      <c r="A8" s="27" t="s">
        <v>31</v>
      </c>
      <c r="B8" s="32" t="s">
        <v>32</v>
      </c>
      <c r="C8" s="27" t="s">
        <v>75</v>
      </c>
      <c r="D8" s="27"/>
      <c r="E8" s="27">
        <v>20</v>
      </c>
      <c r="F8" s="27">
        <v>20</v>
      </c>
      <c r="G8" s="27" t="s">
        <v>88</v>
      </c>
      <c r="H8" s="27" t="s">
        <v>461</v>
      </c>
      <c r="I8" s="29">
        <v>44470</v>
      </c>
      <c r="J8" s="27" t="s">
        <v>585</v>
      </c>
      <c r="K8" s="30">
        <v>45580</v>
      </c>
      <c r="L8" s="31" t="s">
        <v>85</v>
      </c>
      <c r="M8" s="31" t="s">
        <v>82</v>
      </c>
      <c r="N8" s="31" t="s">
        <v>82</v>
      </c>
      <c r="O8" s="27">
        <f t="shared" si="0"/>
        <v>20</v>
      </c>
      <c r="P8" s="27">
        <f t="shared" si="1"/>
        <v>48</v>
      </c>
      <c r="Q8" s="32"/>
    </row>
    <row r="9" spans="1:17" x14ac:dyDescent="0.2">
      <c r="A9" s="27" t="s">
        <v>33</v>
      </c>
      <c r="B9" s="32" t="s">
        <v>34</v>
      </c>
      <c r="C9" s="27" t="s">
        <v>74</v>
      </c>
      <c r="D9" s="27"/>
      <c r="E9" s="27">
        <v>4</v>
      </c>
      <c r="F9" s="27">
        <v>3</v>
      </c>
      <c r="G9" s="27" t="s">
        <v>87</v>
      </c>
      <c r="H9" s="27" t="s">
        <v>461</v>
      </c>
      <c r="I9" s="29">
        <v>43983</v>
      </c>
      <c r="J9" s="27" t="s">
        <v>586</v>
      </c>
      <c r="K9" s="30">
        <v>45099</v>
      </c>
      <c r="L9" s="31" t="s">
        <v>85</v>
      </c>
      <c r="M9" s="31" t="s">
        <v>84</v>
      </c>
      <c r="N9" s="31" t="s">
        <v>92</v>
      </c>
      <c r="O9" s="27">
        <f t="shared" si="0"/>
        <v>3</v>
      </c>
      <c r="P9" s="27">
        <f t="shared" si="1"/>
        <v>7.1999999999999993</v>
      </c>
      <c r="Q9" s="32"/>
    </row>
    <row r="10" spans="1:17" x14ac:dyDescent="0.2">
      <c r="A10" s="27" t="s">
        <v>35</v>
      </c>
      <c r="B10" s="32" t="s">
        <v>36</v>
      </c>
      <c r="C10" s="27" t="s">
        <v>75</v>
      </c>
      <c r="D10" s="27"/>
      <c r="E10" s="27">
        <v>21</v>
      </c>
      <c r="F10" s="27">
        <v>21</v>
      </c>
      <c r="G10" s="27" t="s">
        <v>88</v>
      </c>
      <c r="H10" s="27" t="s">
        <v>461</v>
      </c>
      <c r="I10" s="29">
        <v>44652</v>
      </c>
      <c r="J10" s="27" t="s">
        <v>584</v>
      </c>
      <c r="K10" s="30">
        <v>45761</v>
      </c>
      <c r="L10" s="31" t="s">
        <v>85</v>
      </c>
      <c r="M10" s="31" t="s">
        <v>82</v>
      </c>
      <c r="N10" s="31" t="s">
        <v>82</v>
      </c>
      <c r="O10" s="27">
        <f t="shared" si="0"/>
        <v>21</v>
      </c>
      <c r="P10" s="27">
        <f t="shared" si="1"/>
        <v>50.4</v>
      </c>
      <c r="Q10" s="32"/>
    </row>
    <row r="11" spans="1:17" x14ac:dyDescent="0.2">
      <c r="A11" s="27" t="s">
        <v>37</v>
      </c>
      <c r="B11" s="32" t="s">
        <v>38</v>
      </c>
      <c r="C11" s="27" t="s">
        <v>77</v>
      </c>
      <c r="D11" s="27"/>
      <c r="E11" s="27">
        <v>2</v>
      </c>
      <c r="F11" s="27">
        <v>2</v>
      </c>
      <c r="G11" s="27" t="s">
        <v>87</v>
      </c>
      <c r="H11" s="27" t="s">
        <v>461</v>
      </c>
      <c r="I11" s="29">
        <v>44409</v>
      </c>
      <c r="J11" s="27" t="s">
        <v>585</v>
      </c>
      <c r="K11" s="30">
        <v>45529</v>
      </c>
      <c r="L11" s="31" t="s">
        <v>85</v>
      </c>
      <c r="M11" s="31" t="s">
        <v>82</v>
      </c>
      <c r="N11" s="31" t="s">
        <v>92</v>
      </c>
      <c r="O11" s="27">
        <f t="shared" si="0"/>
        <v>2</v>
      </c>
      <c r="P11" s="27">
        <f t="shared" si="1"/>
        <v>4.8</v>
      </c>
      <c r="Q11" s="32"/>
    </row>
    <row r="12" spans="1:17" s="72" customFormat="1" x14ac:dyDescent="0.2">
      <c r="A12" s="5" t="s">
        <v>39</v>
      </c>
      <c r="B12" s="6" t="s">
        <v>40</v>
      </c>
      <c r="C12" s="10" t="s">
        <v>75</v>
      </c>
      <c r="D12" s="10"/>
      <c r="E12" s="10">
        <v>52</v>
      </c>
      <c r="F12" s="10">
        <v>52</v>
      </c>
      <c r="G12" s="27" t="s">
        <v>88</v>
      </c>
      <c r="H12" s="27" t="s">
        <v>462</v>
      </c>
      <c r="I12" s="11">
        <v>44152</v>
      </c>
      <c r="J12" s="27" t="s">
        <v>586</v>
      </c>
      <c r="K12" s="12">
        <f>DATE(YEAR(I12)+3,MONTH(I12),DAY(I12))</f>
        <v>45247</v>
      </c>
      <c r="L12" s="31" t="s">
        <v>85</v>
      </c>
      <c r="M12" s="13" t="s">
        <v>82</v>
      </c>
      <c r="N12" s="31" t="s">
        <v>82</v>
      </c>
      <c r="O12" s="27">
        <f t="shared" si="0"/>
        <v>52</v>
      </c>
      <c r="P12" s="27">
        <f t="shared" si="1"/>
        <v>124.8</v>
      </c>
      <c r="Q12" s="14"/>
    </row>
    <row r="13" spans="1:17" x14ac:dyDescent="0.2">
      <c r="A13" s="7" t="s">
        <v>41</v>
      </c>
      <c r="B13" s="6" t="s">
        <v>42</v>
      </c>
      <c r="C13" s="10" t="s">
        <v>693</v>
      </c>
      <c r="D13" s="10" t="s">
        <v>72</v>
      </c>
      <c r="E13" s="10">
        <v>5</v>
      </c>
      <c r="F13" s="10">
        <v>5</v>
      </c>
      <c r="G13" s="27" t="s">
        <v>87</v>
      </c>
      <c r="H13" s="27" t="s">
        <v>461</v>
      </c>
      <c r="I13" s="11">
        <v>44897</v>
      </c>
      <c r="J13" s="27" t="s">
        <v>584</v>
      </c>
      <c r="K13" s="12">
        <v>45993</v>
      </c>
      <c r="L13" s="31" t="s">
        <v>85</v>
      </c>
      <c r="M13" s="13" t="s">
        <v>83</v>
      </c>
      <c r="N13" s="31" t="s">
        <v>92</v>
      </c>
      <c r="O13" s="27">
        <f t="shared" si="0"/>
        <v>5</v>
      </c>
      <c r="P13" s="27">
        <f t="shared" si="1"/>
        <v>12</v>
      </c>
      <c r="Q13" s="14"/>
    </row>
    <row r="14" spans="1:17" x14ac:dyDescent="0.2">
      <c r="A14" s="27" t="s">
        <v>43</v>
      </c>
      <c r="B14" s="32" t="s">
        <v>44</v>
      </c>
      <c r="C14" s="27" t="s">
        <v>73</v>
      </c>
      <c r="D14" s="27" t="s">
        <v>72</v>
      </c>
      <c r="E14" s="27">
        <v>1</v>
      </c>
      <c r="F14" s="27">
        <v>1</v>
      </c>
      <c r="G14" s="27" t="s">
        <v>87</v>
      </c>
      <c r="H14" s="27" t="s">
        <v>461</v>
      </c>
      <c r="I14" s="33">
        <v>44820</v>
      </c>
      <c r="J14" s="27" t="s">
        <v>584</v>
      </c>
      <c r="K14" s="12">
        <v>45916</v>
      </c>
      <c r="L14" s="31" t="s">
        <v>85</v>
      </c>
      <c r="M14" s="31" t="s">
        <v>83</v>
      </c>
      <c r="N14" s="31" t="s">
        <v>92</v>
      </c>
      <c r="O14" s="27">
        <f t="shared" si="0"/>
        <v>1</v>
      </c>
      <c r="P14" s="27">
        <f t="shared" si="1"/>
        <v>2.4</v>
      </c>
      <c r="Q14" s="32"/>
    </row>
    <row r="15" spans="1:17" x14ac:dyDescent="0.2">
      <c r="A15" s="7" t="s">
        <v>45</v>
      </c>
      <c r="B15" s="6" t="s">
        <v>46</v>
      </c>
      <c r="C15" s="10" t="s">
        <v>73</v>
      </c>
      <c r="D15" s="10" t="s">
        <v>72</v>
      </c>
      <c r="E15" s="10">
        <v>2</v>
      </c>
      <c r="F15" s="10">
        <v>1</v>
      </c>
      <c r="G15" s="27" t="s">
        <v>87</v>
      </c>
      <c r="H15" s="27" t="s">
        <v>461</v>
      </c>
      <c r="I15" s="11">
        <v>44981</v>
      </c>
      <c r="J15" s="27" t="s">
        <v>584</v>
      </c>
      <c r="K15" s="12">
        <v>46077</v>
      </c>
      <c r="L15" s="31" t="s">
        <v>85</v>
      </c>
      <c r="M15" s="13" t="s">
        <v>84</v>
      </c>
      <c r="N15" s="31" t="s">
        <v>92</v>
      </c>
      <c r="O15" s="27">
        <f t="shared" si="0"/>
        <v>1</v>
      </c>
      <c r="P15" s="27">
        <f t="shared" si="1"/>
        <v>2.4</v>
      </c>
      <c r="Q15" s="14"/>
    </row>
    <row r="16" spans="1:17" x14ac:dyDescent="0.2">
      <c r="A16" s="7" t="s">
        <v>47</v>
      </c>
      <c r="B16" s="6" t="s">
        <v>48</v>
      </c>
      <c r="C16" s="10" t="s">
        <v>73</v>
      </c>
      <c r="D16" s="10" t="s">
        <v>72</v>
      </c>
      <c r="E16" s="10">
        <v>2</v>
      </c>
      <c r="F16" s="10">
        <v>2</v>
      </c>
      <c r="G16" s="27" t="s">
        <v>87</v>
      </c>
      <c r="H16" s="27" t="s">
        <v>461</v>
      </c>
      <c r="I16" s="11">
        <v>45009</v>
      </c>
      <c r="J16" s="27" t="s">
        <v>584</v>
      </c>
      <c r="K16" s="12">
        <v>46105</v>
      </c>
      <c r="L16" s="31" t="s">
        <v>85</v>
      </c>
      <c r="M16" s="13" t="s">
        <v>82</v>
      </c>
      <c r="N16" s="31" t="s">
        <v>92</v>
      </c>
      <c r="O16" s="27">
        <f t="shared" si="0"/>
        <v>2</v>
      </c>
      <c r="P16" s="27">
        <f t="shared" si="1"/>
        <v>4.8</v>
      </c>
      <c r="Q16" s="14"/>
    </row>
    <row r="17" spans="1:17" x14ac:dyDescent="0.2">
      <c r="A17" s="27" t="s">
        <v>49</v>
      </c>
      <c r="B17" s="32" t="s">
        <v>50</v>
      </c>
      <c r="C17" s="27" t="s">
        <v>75</v>
      </c>
      <c r="D17" s="27"/>
      <c r="E17" s="27">
        <v>20</v>
      </c>
      <c r="F17" s="27">
        <v>20</v>
      </c>
      <c r="G17" s="27" t="s">
        <v>88</v>
      </c>
      <c r="H17" s="27" t="s">
        <v>461</v>
      </c>
      <c r="I17" s="29">
        <v>44470</v>
      </c>
      <c r="J17" s="27" t="s">
        <v>585</v>
      </c>
      <c r="K17" s="30">
        <v>45572</v>
      </c>
      <c r="L17" s="31" t="s">
        <v>85</v>
      </c>
      <c r="M17" s="31" t="s">
        <v>82</v>
      </c>
      <c r="N17" s="31" t="s">
        <v>82</v>
      </c>
      <c r="O17" s="27">
        <f t="shared" si="0"/>
        <v>20</v>
      </c>
      <c r="P17" s="27">
        <f t="shared" si="1"/>
        <v>48</v>
      </c>
      <c r="Q17" s="32"/>
    </row>
    <row r="18" spans="1:17" x14ac:dyDescent="0.2">
      <c r="A18" s="34" t="s">
        <v>51</v>
      </c>
      <c r="B18" s="31" t="s">
        <v>52</v>
      </c>
      <c r="C18" s="10" t="s">
        <v>73</v>
      </c>
      <c r="D18" s="10" t="s">
        <v>72</v>
      </c>
      <c r="E18" s="27">
        <v>1</v>
      </c>
      <c r="F18" s="27">
        <v>1</v>
      </c>
      <c r="G18" s="27" t="s">
        <v>87</v>
      </c>
      <c r="H18" s="27" t="s">
        <v>461</v>
      </c>
      <c r="I18" s="29">
        <v>44393</v>
      </c>
      <c r="J18" s="27" t="s">
        <v>585</v>
      </c>
      <c r="K18" s="30">
        <v>45573</v>
      </c>
      <c r="L18" s="31" t="s">
        <v>85</v>
      </c>
      <c r="M18" s="13" t="s">
        <v>83</v>
      </c>
      <c r="N18" s="31" t="s">
        <v>92</v>
      </c>
      <c r="O18" s="27">
        <f t="shared" si="0"/>
        <v>1</v>
      </c>
      <c r="P18" s="27">
        <f t="shared" si="1"/>
        <v>2.4</v>
      </c>
      <c r="Q18" s="14"/>
    </row>
    <row r="19" spans="1:17" x14ac:dyDescent="0.2">
      <c r="A19" s="5" t="s">
        <v>53</v>
      </c>
      <c r="B19" s="6" t="s">
        <v>54</v>
      </c>
      <c r="C19" s="10" t="s">
        <v>74</v>
      </c>
      <c r="D19" s="10"/>
      <c r="E19" s="10">
        <v>3</v>
      </c>
      <c r="F19" s="10">
        <v>3</v>
      </c>
      <c r="G19" s="27" t="s">
        <v>87</v>
      </c>
      <c r="H19" s="27" t="s">
        <v>461</v>
      </c>
      <c r="I19" s="11">
        <v>44645</v>
      </c>
      <c r="J19" s="27" t="s">
        <v>585</v>
      </c>
      <c r="K19" s="12">
        <f>DATE(YEAR(I19)+3,MONTH(I19),DAY(I19))</f>
        <v>45741</v>
      </c>
      <c r="L19" s="31" t="s">
        <v>85</v>
      </c>
      <c r="M19" s="13" t="s">
        <v>83</v>
      </c>
      <c r="N19" s="31" t="s">
        <v>92</v>
      </c>
      <c r="O19" s="27">
        <f t="shared" si="0"/>
        <v>3</v>
      </c>
      <c r="P19" s="27">
        <f t="shared" si="1"/>
        <v>7.1999999999999993</v>
      </c>
      <c r="Q19" s="14"/>
    </row>
    <row r="20" spans="1:17" x14ac:dyDescent="0.2">
      <c r="A20" s="27" t="s">
        <v>55</v>
      </c>
      <c r="B20" s="6" t="s">
        <v>56</v>
      </c>
      <c r="C20" s="10" t="s">
        <v>73</v>
      </c>
      <c r="D20" s="10" t="s">
        <v>72</v>
      </c>
      <c r="E20" s="10">
        <v>5</v>
      </c>
      <c r="F20" s="10">
        <v>5</v>
      </c>
      <c r="G20" s="27" t="s">
        <v>87</v>
      </c>
      <c r="H20" s="27" t="s">
        <v>461</v>
      </c>
      <c r="I20" s="33">
        <v>44834</v>
      </c>
      <c r="J20" s="27" t="s">
        <v>584</v>
      </c>
      <c r="K20" s="12">
        <v>45930</v>
      </c>
      <c r="L20" s="31" t="s">
        <v>85</v>
      </c>
      <c r="M20" s="13" t="s">
        <v>83</v>
      </c>
      <c r="N20" s="31" t="s">
        <v>92</v>
      </c>
      <c r="O20" s="27">
        <f t="shared" si="0"/>
        <v>5</v>
      </c>
      <c r="P20" s="27">
        <f t="shared" si="1"/>
        <v>12</v>
      </c>
      <c r="Q20" s="14"/>
    </row>
    <row r="21" spans="1:17" x14ac:dyDescent="0.2">
      <c r="A21" s="8" t="s">
        <v>57</v>
      </c>
      <c r="B21" s="15" t="s">
        <v>58</v>
      </c>
      <c r="C21" s="16" t="s">
        <v>74</v>
      </c>
      <c r="D21" s="16"/>
      <c r="E21" s="16">
        <v>27</v>
      </c>
      <c r="F21" s="16">
        <v>26</v>
      </c>
      <c r="G21" s="27" t="s">
        <v>88</v>
      </c>
      <c r="H21" s="27" t="s">
        <v>461</v>
      </c>
      <c r="I21" s="17">
        <v>44566</v>
      </c>
      <c r="J21" s="27" t="s">
        <v>584</v>
      </c>
      <c r="K21" s="17">
        <f>DATE(YEAR(I21)+3,MONTH(I21),DAY(I21))</f>
        <v>45662</v>
      </c>
      <c r="L21" s="31" t="s">
        <v>85</v>
      </c>
      <c r="M21" s="15" t="s">
        <v>83</v>
      </c>
      <c r="N21" s="31" t="s">
        <v>92</v>
      </c>
      <c r="O21" s="27">
        <f t="shared" si="0"/>
        <v>26</v>
      </c>
      <c r="P21" s="27">
        <f t="shared" si="1"/>
        <v>62.4</v>
      </c>
      <c r="Q21" s="16"/>
    </row>
    <row r="22" spans="1:17" x14ac:dyDescent="0.2">
      <c r="A22" s="7" t="s">
        <v>59</v>
      </c>
      <c r="B22" s="6" t="s">
        <v>60</v>
      </c>
      <c r="C22" s="10" t="s">
        <v>73</v>
      </c>
      <c r="D22" s="10" t="s">
        <v>72</v>
      </c>
      <c r="E22" s="10">
        <v>2</v>
      </c>
      <c r="F22" s="10">
        <v>2</v>
      </c>
      <c r="G22" s="27" t="s">
        <v>87</v>
      </c>
      <c r="H22" s="27" t="s">
        <v>461</v>
      </c>
      <c r="I22" s="11">
        <v>44900</v>
      </c>
      <c r="J22" s="27" t="s">
        <v>584</v>
      </c>
      <c r="K22" s="12">
        <v>45996</v>
      </c>
      <c r="L22" s="31" t="s">
        <v>85</v>
      </c>
      <c r="M22" s="13" t="s">
        <v>84</v>
      </c>
      <c r="N22" s="31" t="s">
        <v>92</v>
      </c>
      <c r="O22" s="27">
        <f t="shared" si="0"/>
        <v>2</v>
      </c>
      <c r="P22" s="27">
        <f t="shared" si="1"/>
        <v>4.8</v>
      </c>
      <c r="Q22" s="14"/>
    </row>
    <row r="23" spans="1:17" x14ac:dyDescent="0.2">
      <c r="A23" s="27" t="s">
        <v>61</v>
      </c>
      <c r="B23" s="32" t="s">
        <v>62</v>
      </c>
      <c r="C23" s="27" t="s">
        <v>73</v>
      </c>
      <c r="D23" s="27" t="s">
        <v>72</v>
      </c>
      <c r="E23" s="27">
        <v>4</v>
      </c>
      <c r="F23" s="27">
        <v>4</v>
      </c>
      <c r="G23" s="27" t="s">
        <v>87</v>
      </c>
      <c r="H23" s="27" t="s">
        <v>461</v>
      </c>
      <c r="I23" s="29">
        <v>44682</v>
      </c>
      <c r="J23" s="27" t="s">
        <v>584</v>
      </c>
      <c r="K23" s="30">
        <v>45781</v>
      </c>
      <c r="L23" s="31" t="s">
        <v>85</v>
      </c>
      <c r="M23" s="31" t="s">
        <v>84</v>
      </c>
      <c r="N23" s="31" t="s">
        <v>92</v>
      </c>
      <c r="O23" s="27">
        <f t="shared" si="0"/>
        <v>4</v>
      </c>
      <c r="P23" s="27">
        <f t="shared" si="1"/>
        <v>9.6</v>
      </c>
      <c r="Q23" s="32"/>
    </row>
    <row r="24" spans="1:17" x14ac:dyDescent="0.2">
      <c r="A24" s="9" t="s">
        <v>63</v>
      </c>
      <c r="B24" s="19" t="s">
        <v>64</v>
      </c>
      <c r="C24" s="20" t="s">
        <v>74</v>
      </c>
      <c r="D24" s="20" t="s">
        <v>78</v>
      </c>
      <c r="E24" s="20">
        <v>74</v>
      </c>
      <c r="F24" s="20">
        <v>74</v>
      </c>
      <c r="G24" s="35" t="s">
        <v>88</v>
      </c>
      <c r="H24" s="35" t="s">
        <v>462</v>
      </c>
      <c r="I24" s="21">
        <v>43978</v>
      </c>
      <c r="J24" s="35" t="s">
        <v>586</v>
      </c>
      <c r="K24" s="22">
        <f>DATE(YEAR(I24)+3,MONTH(I24),DAY(I24))</f>
        <v>45073</v>
      </c>
      <c r="L24" s="37" t="s">
        <v>85</v>
      </c>
      <c r="M24" s="23" t="s">
        <v>83</v>
      </c>
      <c r="N24" s="23" t="s">
        <v>92</v>
      </c>
      <c r="O24" s="35">
        <f t="shared" si="0"/>
        <v>74</v>
      </c>
      <c r="P24" s="35">
        <f t="shared" si="1"/>
        <v>177.6</v>
      </c>
      <c r="Q24" s="18" t="s">
        <v>86</v>
      </c>
    </row>
    <row r="25" spans="1:17" x14ac:dyDescent="0.2">
      <c r="A25" s="34" t="s">
        <v>65</v>
      </c>
      <c r="B25" s="31" t="s">
        <v>66</v>
      </c>
      <c r="C25" s="10" t="s">
        <v>79</v>
      </c>
      <c r="D25" s="10" t="s">
        <v>72</v>
      </c>
      <c r="E25" s="10">
        <v>3</v>
      </c>
      <c r="F25" s="10">
        <v>3</v>
      </c>
      <c r="G25" s="27" t="s">
        <v>87</v>
      </c>
      <c r="H25" s="27" t="s">
        <v>461</v>
      </c>
      <c r="I25" s="11">
        <v>44682</v>
      </c>
      <c r="J25" s="27" t="s">
        <v>584</v>
      </c>
      <c r="K25" s="12">
        <f>DATE(YEAR(I25)+3,MONTH(I25),DAY(I25))</f>
        <v>45778</v>
      </c>
      <c r="L25" s="31" t="s">
        <v>85</v>
      </c>
      <c r="M25" s="13" t="s">
        <v>83</v>
      </c>
      <c r="N25" s="31" t="s">
        <v>92</v>
      </c>
      <c r="O25" s="27">
        <f t="shared" si="0"/>
        <v>3</v>
      </c>
      <c r="P25" s="27">
        <f t="shared" si="1"/>
        <v>7.1999999999999993</v>
      </c>
      <c r="Q25" s="14"/>
    </row>
    <row r="26" spans="1:17" x14ac:dyDescent="0.2">
      <c r="A26" s="27" t="s">
        <v>67</v>
      </c>
      <c r="B26" s="32" t="s">
        <v>68</v>
      </c>
      <c r="C26" s="27" t="s">
        <v>75</v>
      </c>
      <c r="D26" s="27"/>
      <c r="E26" s="27">
        <v>6</v>
      </c>
      <c r="F26" s="27">
        <v>6</v>
      </c>
      <c r="G26" s="27" t="s">
        <v>87</v>
      </c>
      <c r="H26" s="27" t="s">
        <v>461</v>
      </c>
      <c r="I26" s="29">
        <v>44470</v>
      </c>
      <c r="J26" s="27" t="s">
        <v>585</v>
      </c>
      <c r="K26" s="30">
        <v>45570</v>
      </c>
      <c r="L26" s="31" t="s">
        <v>85</v>
      </c>
      <c r="M26" s="31" t="s">
        <v>82</v>
      </c>
      <c r="N26" s="31" t="s">
        <v>92</v>
      </c>
      <c r="O26" s="27">
        <f t="shared" si="0"/>
        <v>6</v>
      </c>
      <c r="P26" s="27">
        <f t="shared" si="1"/>
        <v>14.399999999999999</v>
      </c>
      <c r="Q26" s="32"/>
    </row>
    <row r="27" spans="1:17" x14ac:dyDescent="0.2">
      <c r="A27" s="5" t="s">
        <v>69</v>
      </c>
      <c r="B27" s="6" t="s">
        <v>70</v>
      </c>
      <c r="C27" s="10" t="s">
        <v>74</v>
      </c>
      <c r="D27" s="10"/>
      <c r="E27" s="10">
        <v>2</v>
      </c>
      <c r="F27" s="10">
        <v>1</v>
      </c>
      <c r="G27" s="27" t="s">
        <v>87</v>
      </c>
      <c r="H27" s="27" t="s">
        <v>461</v>
      </c>
      <c r="I27" s="11">
        <v>44494</v>
      </c>
      <c r="J27" s="27" t="s">
        <v>585</v>
      </c>
      <c r="K27" s="12">
        <f>DATE(YEAR(I27)+3,MONTH(I27),DAY(I27))</f>
        <v>45590</v>
      </c>
      <c r="L27" s="31" t="s">
        <v>85</v>
      </c>
      <c r="M27" s="13" t="s">
        <v>83</v>
      </c>
      <c r="N27" s="31" t="s">
        <v>92</v>
      </c>
      <c r="O27" s="27">
        <f t="shared" si="0"/>
        <v>1</v>
      </c>
      <c r="P27" s="27">
        <f t="shared" si="1"/>
        <v>2.4</v>
      </c>
      <c r="Q27" s="24"/>
    </row>
    <row r="28" spans="1:17" x14ac:dyDescent="0.2">
      <c r="A28" s="135" t="s">
        <v>670</v>
      </c>
      <c r="B28" s="136" t="s">
        <v>680</v>
      </c>
      <c r="C28" s="138" t="s">
        <v>76</v>
      </c>
      <c r="D28" s="138" t="s">
        <v>72</v>
      </c>
      <c r="E28" s="138">
        <v>16</v>
      </c>
      <c r="F28" s="138">
        <v>16</v>
      </c>
      <c r="G28" s="27" t="s">
        <v>88</v>
      </c>
      <c r="H28" s="27" t="s">
        <v>461</v>
      </c>
      <c r="I28" s="139">
        <v>45048</v>
      </c>
      <c r="J28" s="27" t="s">
        <v>669</v>
      </c>
      <c r="K28" s="12">
        <f t="shared" ref="K28:K37" si="2">DATE(YEAR(I28)+3,MONTH(I28),DAY(I28))</f>
        <v>46144</v>
      </c>
      <c r="L28" s="31" t="s">
        <v>85</v>
      </c>
      <c r="M28" s="13" t="s">
        <v>82</v>
      </c>
      <c r="N28" s="31" t="s">
        <v>82</v>
      </c>
      <c r="O28" s="27">
        <f>F28</f>
        <v>16</v>
      </c>
      <c r="P28" s="27">
        <f t="shared" si="1"/>
        <v>38.4</v>
      </c>
      <c r="Q28" s="24"/>
    </row>
    <row r="29" spans="1:17" x14ac:dyDescent="0.2">
      <c r="A29" s="135" t="s">
        <v>671</v>
      </c>
      <c r="B29" s="136" t="s">
        <v>689</v>
      </c>
      <c r="C29" s="138" t="s">
        <v>73</v>
      </c>
      <c r="D29" s="138" t="s">
        <v>72</v>
      </c>
      <c r="E29" s="138">
        <v>3</v>
      </c>
      <c r="F29" s="138">
        <v>3</v>
      </c>
      <c r="G29" s="27" t="s">
        <v>87</v>
      </c>
      <c r="H29" s="27" t="s">
        <v>461</v>
      </c>
      <c r="I29" s="139">
        <v>45078</v>
      </c>
      <c r="J29" s="27" t="s">
        <v>669</v>
      </c>
      <c r="K29" s="12">
        <f t="shared" si="2"/>
        <v>46174</v>
      </c>
      <c r="L29" s="31" t="s">
        <v>85</v>
      </c>
      <c r="M29" s="13" t="s">
        <v>84</v>
      </c>
      <c r="N29" s="31" t="s">
        <v>92</v>
      </c>
      <c r="O29" s="27">
        <f t="shared" ref="O29:O37" si="3">F29</f>
        <v>3</v>
      </c>
      <c r="P29" s="27">
        <f t="shared" si="1"/>
        <v>7.1999999999999993</v>
      </c>
      <c r="Q29" s="24"/>
    </row>
    <row r="30" spans="1:17" x14ac:dyDescent="0.2">
      <c r="A30" s="135" t="s">
        <v>672</v>
      </c>
      <c r="B30" s="136" t="s">
        <v>681</v>
      </c>
      <c r="C30" s="138" t="s">
        <v>73</v>
      </c>
      <c r="D30" s="138" t="s">
        <v>72</v>
      </c>
      <c r="E30" s="138">
        <v>3</v>
      </c>
      <c r="F30" s="138">
        <v>2</v>
      </c>
      <c r="G30" s="27" t="s">
        <v>87</v>
      </c>
      <c r="H30" s="27" t="s">
        <v>461</v>
      </c>
      <c r="I30" s="139">
        <v>45078</v>
      </c>
      <c r="J30" s="27" t="s">
        <v>669</v>
      </c>
      <c r="K30" s="12">
        <f t="shared" si="2"/>
        <v>46174</v>
      </c>
      <c r="L30" s="31" t="s">
        <v>85</v>
      </c>
      <c r="M30" s="13" t="s">
        <v>83</v>
      </c>
      <c r="N30" s="31" t="s">
        <v>92</v>
      </c>
      <c r="O30" s="27">
        <f>F30</f>
        <v>2</v>
      </c>
      <c r="P30" s="27">
        <f t="shared" si="1"/>
        <v>4.8</v>
      </c>
      <c r="Q30" s="24"/>
    </row>
    <row r="31" spans="1:17" x14ac:dyDescent="0.2">
      <c r="A31" s="135" t="s">
        <v>673</v>
      </c>
      <c r="B31" s="136" t="s">
        <v>682</v>
      </c>
      <c r="C31" s="138" t="s">
        <v>73</v>
      </c>
      <c r="D31" s="138" t="s">
        <v>72</v>
      </c>
      <c r="E31" s="138">
        <v>1</v>
      </c>
      <c r="F31" s="138">
        <v>1</v>
      </c>
      <c r="G31" s="27" t="s">
        <v>87</v>
      </c>
      <c r="H31" s="27" t="s">
        <v>461</v>
      </c>
      <c r="I31" s="139">
        <v>45114</v>
      </c>
      <c r="J31" s="27" t="s">
        <v>669</v>
      </c>
      <c r="K31" s="12">
        <f t="shared" si="2"/>
        <v>46210</v>
      </c>
      <c r="L31" s="31" t="s">
        <v>85</v>
      </c>
      <c r="M31" s="13" t="s">
        <v>84</v>
      </c>
      <c r="N31" s="31" t="s">
        <v>92</v>
      </c>
      <c r="O31" s="27">
        <f>F31</f>
        <v>1</v>
      </c>
      <c r="P31" s="27">
        <f t="shared" si="1"/>
        <v>2.4</v>
      </c>
      <c r="Q31" s="24"/>
    </row>
    <row r="32" spans="1:17" x14ac:dyDescent="0.2">
      <c r="A32" s="141" t="s">
        <v>674</v>
      </c>
      <c r="B32" s="142" t="s">
        <v>683</v>
      </c>
      <c r="C32" s="143" t="s">
        <v>73</v>
      </c>
      <c r="D32" s="143" t="s">
        <v>78</v>
      </c>
      <c r="E32" s="143">
        <v>205</v>
      </c>
      <c r="F32" s="143">
        <v>205</v>
      </c>
      <c r="G32" s="35" t="s">
        <v>88</v>
      </c>
      <c r="H32" s="35" t="s">
        <v>462</v>
      </c>
      <c r="I32" s="144">
        <v>45125</v>
      </c>
      <c r="J32" s="35" t="s">
        <v>669</v>
      </c>
      <c r="K32" s="22">
        <f t="shared" si="2"/>
        <v>46221</v>
      </c>
      <c r="L32" s="37" t="s">
        <v>85</v>
      </c>
      <c r="M32" s="145" t="s">
        <v>82</v>
      </c>
      <c r="N32" s="37" t="s">
        <v>82</v>
      </c>
      <c r="O32" s="35">
        <f>F32</f>
        <v>205</v>
      </c>
      <c r="P32" s="35">
        <f t="shared" si="1"/>
        <v>492</v>
      </c>
      <c r="Q32" s="18" t="s">
        <v>86</v>
      </c>
    </row>
    <row r="33" spans="1:17" x14ac:dyDescent="0.2">
      <c r="A33" s="134" t="s">
        <v>675</v>
      </c>
      <c r="B33" s="136" t="s">
        <v>684</v>
      </c>
      <c r="C33" s="138" t="s">
        <v>73</v>
      </c>
      <c r="D33" s="138" t="s">
        <v>72</v>
      </c>
      <c r="E33" s="138">
        <v>3</v>
      </c>
      <c r="F33" s="138">
        <v>3</v>
      </c>
      <c r="G33" s="27" t="s">
        <v>87</v>
      </c>
      <c r="H33" s="27" t="s">
        <v>461</v>
      </c>
      <c r="I33" s="139">
        <v>45126</v>
      </c>
      <c r="J33" s="27" t="s">
        <v>669</v>
      </c>
      <c r="K33" s="12">
        <f t="shared" si="2"/>
        <v>46222</v>
      </c>
      <c r="L33" s="31" t="s">
        <v>85</v>
      </c>
      <c r="M33" s="13" t="s">
        <v>83</v>
      </c>
      <c r="N33" s="31" t="s">
        <v>92</v>
      </c>
      <c r="O33" s="27">
        <f t="shared" si="3"/>
        <v>3</v>
      </c>
      <c r="P33" s="27">
        <f t="shared" si="1"/>
        <v>7.1999999999999993</v>
      </c>
      <c r="Q33" s="24"/>
    </row>
    <row r="34" spans="1:17" x14ac:dyDescent="0.2">
      <c r="A34" s="134" t="s">
        <v>676</v>
      </c>
      <c r="B34" s="3" t="s">
        <v>685</v>
      </c>
      <c r="C34" s="137" t="s">
        <v>73</v>
      </c>
      <c r="D34" s="137" t="s">
        <v>72</v>
      </c>
      <c r="E34" s="137">
        <v>7</v>
      </c>
      <c r="F34" s="137">
        <v>7</v>
      </c>
      <c r="G34" s="27" t="s">
        <v>87</v>
      </c>
      <c r="H34" s="27" t="s">
        <v>461</v>
      </c>
      <c r="I34" s="140">
        <v>45216</v>
      </c>
      <c r="J34" s="27" t="s">
        <v>669</v>
      </c>
      <c r="K34" s="12">
        <f t="shared" si="2"/>
        <v>46312</v>
      </c>
      <c r="L34" s="31" t="s">
        <v>85</v>
      </c>
      <c r="M34" s="13" t="s">
        <v>83</v>
      </c>
      <c r="N34" s="31" t="s">
        <v>92</v>
      </c>
      <c r="O34" s="27">
        <f t="shared" si="3"/>
        <v>7</v>
      </c>
      <c r="P34" s="27">
        <f t="shared" si="1"/>
        <v>16.8</v>
      </c>
      <c r="Q34" s="24"/>
    </row>
    <row r="35" spans="1:17" x14ac:dyDescent="0.2">
      <c r="A35" s="134" t="s">
        <v>677</v>
      </c>
      <c r="B35" s="3" t="s">
        <v>686</v>
      </c>
      <c r="C35" s="137" t="s">
        <v>76</v>
      </c>
      <c r="D35" s="137" t="s">
        <v>72</v>
      </c>
      <c r="E35" s="137">
        <v>1</v>
      </c>
      <c r="F35" s="137">
        <v>1</v>
      </c>
      <c r="G35" s="27" t="s">
        <v>87</v>
      </c>
      <c r="H35" s="27" t="s">
        <v>461</v>
      </c>
      <c r="I35" s="140">
        <v>45222</v>
      </c>
      <c r="J35" s="27" t="s">
        <v>669</v>
      </c>
      <c r="K35" s="12">
        <f t="shared" si="2"/>
        <v>46318</v>
      </c>
      <c r="L35" s="31" t="s">
        <v>85</v>
      </c>
      <c r="M35" s="13" t="s">
        <v>83</v>
      </c>
      <c r="N35" s="31" t="s">
        <v>92</v>
      </c>
      <c r="O35" s="27">
        <f t="shared" si="3"/>
        <v>1</v>
      </c>
      <c r="P35" s="27">
        <f t="shared" si="1"/>
        <v>2.4</v>
      </c>
      <c r="Q35" s="24"/>
    </row>
    <row r="36" spans="1:17" x14ac:dyDescent="0.2">
      <c r="A36" s="134" t="s">
        <v>678</v>
      </c>
      <c r="B36" s="3" t="s">
        <v>687</v>
      </c>
      <c r="C36" s="137" t="s">
        <v>73</v>
      </c>
      <c r="D36" s="137" t="s">
        <v>72</v>
      </c>
      <c r="E36" s="137">
        <v>3</v>
      </c>
      <c r="F36" s="137">
        <v>2</v>
      </c>
      <c r="G36" s="27" t="s">
        <v>87</v>
      </c>
      <c r="H36" s="27" t="s">
        <v>461</v>
      </c>
      <c r="I36" s="140">
        <v>45268</v>
      </c>
      <c r="J36" s="27" t="s">
        <v>669</v>
      </c>
      <c r="K36" s="12">
        <f t="shared" si="2"/>
        <v>46364</v>
      </c>
      <c r="L36" s="31" t="s">
        <v>85</v>
      </c>
      <c r="M36" s="13" t="s">
        <v>82</v>
      </c>
      <c r="N36" s="31" t="s">
        <v>92</v>
      </c>
      <c r="O36" s="27">
        <f t="shared" si="3"/>
        <v>2</v>
      </c>
      <c r="P36" s="27">
        <f t="shared" si="1"/>
        <v>4.8</v>
      </c>
      <c r="Q36" s="24"/>
    </row>
    <row r="37" spans="1:17" x14ac:dyDescent="0.2">
      <c r="A37" s="134" t="s">
        <v>679</v>
      </c>
      <c r="B37" s="3" t="s">
        <v>688</v>
      </c>
      <c r="C37" s="137" t="s">
        <v>73</v>
      </c>
      <c r="D37" s="137" t="s">
        <v>72</v>
      </c>
      <c r="E37" s="137">
        <v>5</v>
      </c>
      <c r="F37" s="137">
        <v>4</v>
      </c>
      <c r="G37" s="27" t="s">
        <v>87</v>
      </c>
      <c r="H37" s="27" t="s">
        <v>461</v>
      </c>
      <c r="I37" s="140">
        <v>45279</v>
      </c>
      <c r="J37" s="27" t="s">
        <v>669</v>
      </c>
      <c r="K37" s="12">
        <f t="shared" si="2"/>
        <v>46375</v>
      </c>
      <c r="L37" s="31" t="s">
        <v>85</v>
      </c>
      <c r="M37" s="13" t="s">
        <v>82</v>
      </c>
      <c r="N37" s="31" t="s">
        <v>92</v>
      </c>
      <c r="O37" s="27">
        <f t="shared" si="3"/>
        <v>4</v>
      </c>
      <c r="P37" s="27">
        <f t="shared" si="1"/>
        <v>9.6</v>
      </c>
      <c r="Q37" s="24"/>
    </row>
    <row r="38" spans="1:17" x14ac:dyDescent="0.2">
      <c r="A38" s="55" t="s">
        <v>733</v>
      </c>
      <c r="B38" s="56" t="s">
        <v>734</v>
      </c>
      <c r="C38" s="55" t="s">
        <v>74</v>
      </c>
      <c r="D38" s="55"/>
      <c r="E38" s="55">
        <v>4</v>
      </c>
      <c r="F38" s="55">
        <v>3</v>
      </c>
      <c r="G38" s="55" t="s">
        <v>87</v>
      </c>
      <c r="H38" s="55" t="s">
        <v>461</v>
      </c>
      <c r="I38" s="140">
        <v>44013</v>
      </c>
      <c r="J38" s="55" t="s">
        <v>586</v>
      </c>
      <c r="K38" s="140">
        <v>45108</v>
      </c>
      <c r="L38" s="56" t="s">
        <v>85</v>
      </c>
      <c r="M38" s="56" t="s">
        <v>83</v>
      </c>
      <c r="N38" s="26" t="s">
        <v>92</v>
      </c>
      <c r="O38" s="55">
        <f>F38</f>
        <v>3</v>
      </c>
      <c r="P38" s="55">
        <v>7.1999999999999993</v>
      </c>
    </row>
    <row r="39" spans="1:17" x14ac:dyDescent="0.2">
      <c r="A39" s="55" t="s">
        <v>735</v>
      </c>
      <c r="B39" s="26" t="s">
        <v>681</v>
      </c>
      <c r="C39" s="55" t="s">
        <v>163</v>
      </c>
      <c r="D39" s="55"/>
      <c r="E39" s="55">
        <v>1</v>
      </c>
      <c r="F39" s="55">
        <v>1</v>
      </c>
      <c r="G39" s="55" t="s">
        <v>87</v>
      </c>
      <c r="H39" s="55" t="s">
        <v>461</v>
      </c>
      <c r="I39" s="140">
        <v>42979</v>
      </c>
      <c r="J39" s="55" t="s">
        <v>614</v>
      </c>
      <c r="K39" s="140">
        <v>44102</v>
      </c>
      <c r="L39" s="56" t="s">
        <v>85</v>
      </c>
      <c r="M39" s="26" t="s">
        <v>82</v>
      </c>
      <c r="N39" s="26" t="s">
        <v>92</v>
      </c>
      <c r="O39" s="55">
        <f>F39</f>
        <v>1</v>
      </c>
      <c r="P39" s="55">
        <v>2.4</v>
      </c>
    </row>
    <row r="40" spans="1:17" x14ac:dyDescent="0.2">
      <c r="A40" s="61" t="s">
        <v>736</v>
      </c>
      <c r="B40" s="44" t="s">
        <v>737</v>
      </c>
      <c r="C40" s="55"/>
      <c r="D40" s="55"/>
      <c r="E40" s="55">
        <v>4</v>
      </c>
      <c r="F40" s="55">
        <v>3</v>
      </c>
      <c r="G40" s="55" t="s">
        <v>87</v>
      </c>
      <c r="H40" s="55" t="s">
        <v>461</v>
      </c>
      <c r="I40" s="140">
        <v>44267</v>
      </c>
      <c r="J40" s="55" t="s">
        <v>586</v>
      </c>
      <c r="K40" s="140">
        <v>45363</v>
      </c>
      <c r="L40" s="56" t="s">
        <v>85</v>
      </c>
      <c r="M40" s="56" t="s">
        <v>83</v>
      </c>
      <c r="N40" s="26" t="s">
        <v>92</v>
      </c>
      <c r="O40" s="55">
        <f>F40</f>
        <v>3</v>
      </c>
      <c r="P40" s="55">
        <v>7.1999999999999993</v>
      </c>
    </row>
    <row r="42" spans="1:17" x14ac:dyDescent="0.2">
      <c r="A42" s="38" t="s">
        <v>0</v>
      </c>
      <c r="E42" s="25">
        <f>SUM(E2:E40)</f>
        <v>570</v>
      </c>
      <c r="F42" s="25">
        <f>SUM(F2:F40)</f>
        <v>559</v>
      </c>
      <c r="G42" s="38"/>
      <c r="H42" s="38"/>
      <c r="O42" s="25">
        <f>SUM(O2:O40)</f>
        <v>559</v>
      </c>
      <c r="P42" s="25">
        <f>SUM(P2:P40)</f>
        <v>1341.6000000000001</v>
      </c>
    </row>
    <row r="43" spans="1:17" x14ac:dyDescent="0.2">
      <c r="A43" s="38"/>
      <c r="C43" s="25" t="s">
        <v>580</v>
      </c>
      <c r="D43" s="25" t="s">
        <v>581</v>
      </c>
      <c r="E43" s="38"/>
      <c r="F43" s="38"/>
      <c r="G43" s="38"/>
      <c r="H43" s="38"/>
    </row>
    <row r="44" spans="1:17" x14ac:dyDescent="0.2">
      <c r="A44" s="38" t="s">
        <v>471</v>
      </c>
      <c r="C44" s="25">
        <v>372</v>
      </c>
      <c r="D44" s="120">
        <f>C44*2.4</f>
        <v>892.8</v>
      </c>
      <c r="O44" s="39"/>
      <c r="P44" s="39"/>
    </row>
    <row r="45" spans="1:17" x14ac:dyDescent="0.2">
      <c r="A45" s="38" t="s">
        <v>101</v>
      </c>
      <c r="C45" s="25">
        <v>0</v>
      </c>
      <c r="D45" s="120">
        <f t="shared" ref="D45:D47" si="4">C45*2.4</f>
        <v>0</v>
      </c>
      <c r="O45" s="25"/>
      <c r="P45" s="25"/>
    </row>
    <row r="46" spans="1:17" x14ac:dyDescent="0.2">
      <c r="A46" s="38" t="s">
        <v>102</v>
      </c>
      <c r="C46" s="25">
        <v>110</v>
      </c>
      <c r="D46" s="120">
        <f t="shared" si="4"/>
        <v>264</v>
      </c>
      <c r="O46" s="25"/>
      <c r="P46" s="25"/>
    </row>
    <row r="47" spans="1:17" x14ac:dyDescent="0.2">
      <c r="A47" s="38" t="s">
        <v>91</v>
      </c>
      <c r="C47" s="25">
        <v>77</v>
      </c>
      <c r="D47" s="120">
        <f t="shared" si="4"/>
        <v>184.79999999999998</v>
      </c>
      <c r="O47" s="25"/>
      <c r="P47" s="25"/>
    </row>
    <row r="51" spans="8:10" x14ac:dyDescent="0.2">
      <c r="H51" s="147"/>
      <c r="I51" s="147"/>
      <c r="J51" s="147"/>
    </row>
    <row r="52" spans="8:10" x14ac:dyDescent="0.2">
      <c r="H52" s="147"/>
      <c r="I52" s="55"/>
      <c r="J52" s="55"/>
    </row>
    <row r="53" spans="8:10" x14ac:dyDescent="0.2">
      <c r="H53" s="147"/>
      <c r="I53" s="147"/>
      <c r="J53" s="147"/>
    </row>
  </sheetData>
  <sheetProtection algorithmName="SHA-512" hashValue="LubcwpOuZGY4kXkK+MWPrGxDrCSsz7B8iq8Cw0ZG47KY/RCDdlMsPlCvtf2yshGW49o3AnuFzMg13hwb6kjgVw==" saltValue="LWhd2I6B3XMJABN3C/roAg==" spinCount="100000" sheet="1" objects="1" scenarios="1"/>
  <autoFilter ref="A1:Q40" xr:uid="{05AAD77F-2349-44FB-87DB-59BCE668CB56}"/>
  <conditionalFormatting sqref="I13 I17">
    <cfRule type="timePeriod" dxfId="10" priority="11" timePeriod="thisMonth">
      <formula>AND(MONTH(I13)=MONTH(TODAY()),YEAR(I13)=YEAR(TODAY()))</formula>
    </cfRule>
  </conditionalFormatting>
  <conditionalFormatting sqref="I26">
    <cfRule type="timePeriod" dxfId="9" priority="10" timePeriod="thisMonth">
      <formula>AND(MONTH(I26)=MONTH(TODAY()),YEAR(I26)=YEAR(TODAY()))</formula>
    </cfRule>
  </conditionalFormatting>
  <conditionalFormatting sqref="A38:A39">
    <cfRule type="duplicateValues" dxfId="8" priority="9"/>
  </conditionalFormatting>
  <conditionalFormatting sqref="B38:B39">
    <cfRule type="duplicateValues" dxfId="7" priority="8"/>
  </conditionalFormatting>
  <conditionalFormatting sqref="A38:B39">
    <cfRule type="duplicateValues" dxfId="6" priority="7"/>
  </conditionalFormatting>
  <conditionalFormatting sqref="A38:B39">
    <cfRule type="duplicateValues" dxfId="5" priority="5"/>
    <cfRule type="duplicateValues" dxfId="4" priority="6"/>
  </conditionalFormatting>
  <conditionalFormatting sqref="A38">
    <cfRule type="duplicateValues" dxfId="3" priority="4"/>
  </conditionalFormatting>
  <conditionalFormatting sqref="A40:B40">
    <cfRule type="duplicateValues" dxfId="2" priority="3"/>
  </conditionalFormatting>
  <conditionalFormatting sqref="A40:B40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0D685-19A1-419B-98E7-C15A8FAFC763}">
  <dimension ref="A1:K33"/>
  <sheetViews>
    <sheetView workbookViewId="0"/>
  </sheetViews>
  <sheetFormatPr defaultRowHeight="12.75" x14ac:dyDescent="0.2"/>
  <cols>
    <col min="1" max="1" width="35" style="26" customWidth="1"/>
    <col min="2" max="3" width="32.7109375" style="26" bestFit="1" customWidth="1"/>
    <col min="4" max="4" width="5.5703125" style="26" bestFit="1" customWidth="1"/>
    <col min="5" max="5" width="5.5703125" style="26" customWidth="1"/>
    <col min="6" max="8" width="9.140625" style="26"/>
    <col min="9" max="9" width="7.5703125" style="26" bestFit="1" customWidth="1"/>
    <col min="10" max="16384" width="9.140625" style="26"/>
  </cols>
  <sheetData>
    <row r="1" spans="1:11" x14ac:dyDescent="0.2">
      <c r="A1" s="38" t="s">
        <v>710</v>
      </c>
    </row>
    <row r="2" spans="1:11" x14ac:dyDescent="0.2">
      <c r="B2" s="25" t="s">
        <v>469</v>
      </c>
      <c r="C2" s="25" t="s">
        <v>468</v>
      </c>
      <c r="D2" s="25" t="s">
        <v>0</v>
      </c>
      <c r="E2" s="25"/>
    </row>
    <row r="3" spans="1:11" x14ac:dyDescent="0.2">
      <c r="A3" s="38" t="s">
        <v>702</v>
      </c>
      <c r="B3" s="120">
        <v>1104</v>
      </c>
      <c r="C3" s="120">
        <v>1021</v>
      </c>
      <c r="D3" s="120">
        <f>SUM(C3+B3)</f>
        <v>2125</v>
      </c>
      <c r="E3" s="120"/>
    </row>
    <row r="4" spans="1:11" x14ac:dyDescent="0.2">
      <c r="A4" s="38"/>
      <c r="B4" s="117"/>
      <c r="C4" s="117"/>
      <c r="D4" s="117"/>
      <c r="E4" s="117"/>
      <c r="K4" s="55"/>
    </row>
    <row r="5" spans="1:11" x14ac:dyDescent="0.2">
      <c r="A5" s="38" t="s">
        <v>100</v>
      </c>
      <c r="B5" s="117"/>
      <c r="C5" s="117"/>
      <c r="D5" s="117"/>
      <c r="E5" s="117"/>
      <c r="K5" s="55"/>
    </row>
    <row r="6" spans="1:11" x14ac:dyDescent="0.2">
      <c r="A6" s="26" t="s">
        <v>1</v>
      </c>
      <c r="B6" s="119">
        <f>B3-Completed!C158</f>
        <v>968</v>
      </c>
      <c r="C6" s="119">
        <f>C3-Completed!C159</f>
        <v>893</v>
      </c>
      <c r="D6" s="117">
        <f>SUM(B6+C6)</f>
        <v>1861</v>
      </c>
      <c r="E6" s="117"/>
      <c r="K6" s="55"/>
    </row>
    <row r="7" spans="1:11" x14ac:dyDescent="0.2">
      <c r="A7" s="26" t="s">
        <v>2</v>
      </c>
      <c r="B7" s="117">
        <f>B6-'Under Construction'!C35</f>
        <v>912</v>
      </c>
      <c r="C7" s="117">
        <f>C6-'Under Construction'!C36</f>
        <v>848.75</v>
      </c>
      <c r="D7" s="117">
        <f>SUM(B7+C7)</f>
        <v>1760.75</v>
      </c>
      <c r="E7" s="117"/>
      <c r="K7" s="55"/>
    </row>
    <row r="8" spans="1:11" x14ac:dyDescent="0.2">
      <c r="A8" s="26" t="s">
        <v>3</v>
      </c>
      <c r="B8" s="117">
        <f>B7-'Planning Permission'!C44</f>
        <v>540</v>
      </c>
      <c r="C8" s="117">
        <f>C7-'Planning Permission'!C45</f>
        <v>848.75</v>
      </c>
      <c r="D8" s="117">
        <f>SUM(B8+C8)</f>
        <v>1388.75</v>
      </c>
      <c r="E8" s="117"/>
      <c r="K8" s="25"/>
    </row>
    <row r="9" spans="1:11" x14ac:dyDescent="0.2">
      <c r="A9" s="38" t="s">
        <v>704</v>
      </c>
      <c r="B9" s="127">
        <f>B8</f>
        <v>540</v>
      </c>
      <c r="C9" s="127">
        <f>C8</f>
        <v>848.75</v>
      </c>
      <c r="D9" s="120">
        <f>SUM(B9+C9)</f>
        <v>1388.75</v>
      </c>
      <c r="E9" s="120"/>
      <c r="F9" s="119">
        <f>D9-B22</f>
        <v>742</v>
      </c>
      <c r="G9" s="26" t="s">
        <v>690</v>
      </c>
    </row>
    <row r="10" spans="1:11" x14ac:dyDescent="0.2">
      <c r="A10" s="38"/>
      <c r="B10" s="120"/>
      <c r="C10" s="120"/>
      <c r="D10" s="120"/>
      <c r="E10" s="120"/>
      <c r="F10" s="55">
        <f>F9/2</f>
        <v>371</v>
      </c>
      <c r="G10" s="146" t="s">
        <v>709</v>
      </c>
      <c r="K10" s="25"/>
    </row>
    <row r="11" spans="1:11" x14ac:dyDescent="0.2">
      <c r="A11" s="38" t="s">
        <v>695</v>
      </c>
      <c r="B11" s="120"/>
      <c r="C11" s="119"/>
      <c r="D11" s="119"/>
      <c r="E11" s="119"/>
      <c r="K11" s="55"/>
    </row>
    <row r="12" spans="1:11" x14ac:dyDescent="0.2">
      <c r="A12" s="26" t="s">
        <v>1</v>
      </c>
      <c r="B12" s="119">
        <f>D9-Completed!C160</f>
        <v>1187.75</v>
      </c>
      <c r="C12" s="127"/>
      <c r="D12" s="127"/>
      <c r="E12" s="127"/>
      <c r="F12" s="25"/>
      <c r="K12" s="55"/>
    </row>
    <row r="13" spans="1:11" x14ac:dyDescent="0.2">
      <c r="A13" s="26" t="s">
        <v>2</v>
      </c>
      <c r="B13" s="117">
        <f>B12-'Under Construction'!C37</f>
        <v>1152.75</v>
      </c>
      <c r="C13" s="123"/>
      <c r="D13" s="123"/>
      <c r="E13" s="123"/>
      <c r="K13" s="55"/>
    </row>
    <row r="14" spans="1:11" x14ac:dyDescent="0.2">
      <c r="A14" s="26" t="s">
        <v>3</v>
      </c>
      <c r="B14" s="117">
        <f>B13-'Planning Permission'!C46</f>
        <v>1042.75</v>
      </c>
      <c r="C14" s="123"/>
      <c r="D14" s="123"/>
      <c r="E14" s="123"/>
      <c r="K14" s="55"/>
    </row>
    <row r="15" spans="1:11" x14ac:dyDescent="0.2">
      <c r="A15" s="38" t="s">
        <v>704</v>
      </c>
      <c r="B15" s="120">
        <f>B14</f>
        <v>1042.75</v>
      </c>
      <c r="C15" s="123"/>
      <c r="D15" s="123"/>
      <c r="E15" s="123"/>
      <c r="I15" s="72"/>
      <c r="J15" s="73"/>
      <c r="K15" s="55"/>
    </row>
    <row r="16" spans="1:11" x14ac:dyDescent="0.2">
      <c r="A16" s="38"/>
      <c r="B16" s="120"/>
      <c r="C16" s="123"/>
      <c r="D16" s="123"/>
      <c r="E16" s="123"/>
      <c r="I16" s="38"/>
      <c r="J16" s="25"/>
      <c r="K16" s="25"/>
    </row>
    <row r="17" spans="1:10" x14ac:dyDescent="0.2">
      <c r="A17" s="38"/>
      <c r="B17" s="120"/>
      <c r="C17" s="123"/>
      <c r="D17" s="123"/>
      <c r="E17" s="123"/>
    </row>
    <row r="18" spans="1:10" x14ac:dyDescent="0.2">
      <c r="A18" s="38" t="s">
        <v>5</v>
      </c>
      <c r="B18" s="120"/>
      <c r="C18" s="123"/>
      <c r="D18" s="123"/>
      <c r="E18" s="123"/>
    </row>
    <row r="19" spans="1:10" x14ac:dyDescent="0.2">
      <c r="A19" s="26" t="s">
        <v>1</v>
      </c>
      <c r="B19" s="119">
        <f>B15-Completed!C161</f>
        <v>775.75</v>
      </c>
      <c r="C19" s="120"/>
      <c r="D19" s="123"/>
      <c r="E19" s="123"/>
    </row>
    <row r="20" spans="1:10" x14ac:dyDescent="0.2">
      <c r="A20" s="26" t="s">
        <v>2</v>
      </c>
      <c r="B20" s="117">
        <f>B19-'Under Construction'!C38</f>
        <v>723.75</v>
      </c>
      <c r="C20" s="123"/>
      <c r="D20" s="123"/>
      <c r="E20" s="123"/>
      <c r="J20" s="123"/>
    </row>
    <row r="21" spans="1:10" x14ac:dyDescent="0.2">
      <c r="A21" s="26" t="s">
        <v>3</v>
      </c>
      <c r="B21" s="117">
        <f>B20-'Planning Permission'!C47</f>
        <v>646.75</v>
      </c>
      <c r="C21" s="123"/>
      <c r="D21" s="123"/>
      <c r="E21" s="123"/>
    </row>
    <row r="22" spans="1:10" x14ac:dyDescent="0.2">
      <c r="A22" s="38" t="s">
        <v>704</v>
      </c>
      <c r="B22" s="120">
        <f>B21</f>
        <v>646.75</v>
      </c>
      <c r="C22" s="123"/>
      <c r="D22" s="120"/>
      <c r="E22" s="120"/>
    </row>
    <row r="23" spans="1:10" x14ac:dyDescent="0.2">
      <c r="A23" s="75" t="s">
        <v>706</v>
      </c>
      <c r="B23" s="120">
        <f>D3-B22</f>
        <v>1478.25</v>
      </c>
    </row>
    <row r="25" spans="1:10" x14ac:dyDescent="0.2">
      <c r="B25" s="25" t="s">
        <v>580</v>
      </c>
      <c r="C25" s="25" t="s">
        <v>581</v>
      </c>
    </row>
    <row r="26" spans="1:10" x14ac:dyDescent="0.2">
      <c r="A26" s="75" t="s">
        <v>692</v>
      </c>
      <c r="B26" s="120">
        <f>B9-F10</f>
        <v>169</v>
      </c>
      <c r="C26" s="120">
        <f>B26*2.4</f>
        <v>405.59999999999997</v>
      </c>
    </row>
    <row r="27" spans="1:10" x14ac:dyDescent="0.2">
      <c r="A27" s="75" t="s">
        <v>691</v>
      </c>
      <c r="B27" s="120">
        <f>C9-F10</f>
        <v>477.75</v>
      </c>
      <c r="C27" s="120">
        <f t="shared" ref="C27:C28" si="0">B27*2.4</f>
        <v>1146.5999999999999</v>
      </c>
    </row>
    <row r="28" spans="1:10" x14ac:dyDescent="0.2">
      <c r="A28" s="38" t="s">
        <v>707</v>
      </c>
      <c r="B28" s="120">
        <f>SUM(B26:B27)</f>
        <v>646.75</v>
      </c>
      <c r="C28" s="120">
        <f t="shared" si="0"/>
        <v>1552.2</v>
      </c>
      <c r="D28" s="55"/>
      <c r="E28" s="55"/>
    </row>
    <row r="29" spans="1:10" x14ac:dyDescent="0.2">
      <c r="A29" s="38"/>
      <c r="B29" s="120"/>
      <c r="C29" s="117"/>
      <c r="D29" s="55"/>
      <c r="E29" s="55"/>
    </row>
    <row r="30" spans="1:10" x14ac:dyDescent="0.2">
      <c r="A30" s="38" t="s">
        <v>705</v>
      </c>
      <c r="B30" s="109">
        <f>(C28/1000)*8</f>
        <v>12.4176</v>
      </c>
      <c r="C30" s="55"/>
      <c r="D30" s="55"/>
      <c r="E30" s="55"/>
    </row>
    <row r="31" spans="1:10" x14ac:dyDescent="0.2">
      <c r="A31" s="38" t="s">
        <v>708</v>
      </c>
      <c r="B31" s="120">
        <f>B28*2.4</f>
        <v>1552.2</v>
      </c>
    </row>
    <row r="33" spans="1:1" x14ac:dyDescent="0.2">
      <c r="A33" s="26" t="s">
        <v>703</v>
      </c>
    </row>
  </sheetData>
  <sheetProtection algorithmName="SHA-512" hashValue="xQNXwWiMn2eJ5oWWFLJe6bpFlgejmpTYXLz1zkkvDVZHh2Wq7AwBDoYUfHv6pAVGlFPtWqlXkFohSim7RAah8w==" saltValue="P17fyyjndz34FsdbQxu9LA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1330D-8AB6-4833-B39C-0A8F17D744B0}">
  <dimension ref="A1:M60"/>
  <sheetViews>
    <sheetView topLeftCell="A36" workbookViewId="0">
      <selection activeCell="E56" sqref="E56"/>
    </sheetView>
  </sheetViews>
  <sheetFormatPr defaultRowHeight="12.75" x14ac:dyDescent="0.2"/>
  <cols>
    <col min="1" max="1" width="17.42578125" style="26" bestFit="1" customWidth="1"/>
    <col min="2" max="2" width="82.28515625" style="26" customWidth="1"/>
    <col min="3" max="3" width="14.140625" style="26" bestFit="1" customWidth="1"/>
    <col min="4" max="4" width="21.7109375" style="81" bestFit="1" customWidth="1"/>
    <col min="5" max="5" width="14.7109375" style="55" bestFit="1" customWidth="1"/>
    <col min="6" max="6" width="15.42578125" style="55" bestFit="1" customWidth="1"/>
    <col min="7" max="7" width="16" style="55" customWidth="1"/>
    <col min="8" max="8" width="20.28515625" style="26" bestFit="1" customWidth="1"/>
    <col min="9" max="9" width="19.7109375" style="26" customWidth="1"/>
    <col min="10" max="10" width="17.85546875" style="26" customWidth="1"/>
    <col min="11" max="11" width="24.85546875" style="55" bestFit="1" customWidth="1"/>
    <col min="12" max="12" width="27.7109375" style="55" customWidth="1"/>
    <col min="13" max="13" width="130.7109375" style="26" customWidth="1"/>
    <col min="14" max="16384" width="9.140625" style="26"/>
  </cols>
  <sheetData>
    <row r="1" spans="1:13" s="55" customFormat="1" x14ac:dyDescent="0.2">
      <c r="A1" s="25" t="s">
        <v>475</v>
      </c>
      <c r="B1" s="75" t="s">
        <v>474</v>
      </c>
      <c r="C1" s="25" t="s">
        <v>80</v>
      </c>
      <c r="D1" s="79" t="s">
        <v>473</v>
      </c>
      <c r="E1" s="25" t="s">
        <v>472</v>
      </c>
      <c r="F1" s="2" t="s">
        <v>89</v>
      </c>
      <c r="G1" s="2" t="s">
        <v>476</v>
      </c>
      <c r="H1" s="2" t="s">
        <v>11</v>
      </c>
      <c r="I1" s="2" t="s">
        <v>90</v>
      </c>
      <c r="J1" s="2" t="s">
        <v>12</v>
      </c>
      <c r="K1" s="4" t="s">
        <v>13</v>
      </c>
      <c r="L1" s="4" t="s">
        <v>699</v>
      </c>
      <c r="M1" s="75" t="s">
        <v>14</v>
      </c>
    </row>
    <row r="2" spans="1:13" x14ac:dyDescent="0.2">
      <c r="A2" s="78" t="s">
        <v>477</v>
      </c>
      <c r="B2" s="78" t="s">
        <v>478</v>
      </c>
      <c r="C2" s="84" t="s">
        <v>72</v>
      </c>
      <c r="D2" s="80" t="s">
        <v>549</v>
      </c>
      <c r="E2" s="84">
        <v>7</v>
      </c>
      <c r="F2" s="84" t="s">
        <v>87</v>
      </c>
      <c r="G2" s="84" t="s">
        <v>461</v>
      </c>
      <c r="H2" s="68" t="s">
        <v>573</v>
      </c>
      <c r="I2" s="32" t="s">
        <v>83</v>
      </c>
      <c r="J2" s="32" t="s">
        <v>92</v>
      </c>
      <c r="K2" s="55">
        <f>E2</f>
        <v>7</v>
      </c>
      <c r="L2" s="77">
        <f>K2*2.4</f>
        <v>16.8</v>
      </c>
    </row>
    <row r="3" spans="1:13" x14ac:dyDescent="0.2">
      <c r="A3" s="78" t="s">
        <v>479</v>
      </c>
      <c r="B3" s="78" t="s">
        <v>480</v>
      </c>
      <c r="C3" s="84" t="s">
        <v>72</v>
      </c>
      <c r="D3" s="80" t="s">
        <v>549</v>
      </c>
      <c r="E3" s="84">
        <v>5</v>
      </c>
      <c r="F3" s="84" t="s">
        <v>87</v>
      </c>
      <c r="G3" s="84" t="s">
        <v>461</v>
      </c>
      <c r="H3" s="68" t="s">
        <v>573</v>
      </c>
      <c r="I3" s="32" t="s">
        <v>83</v>
      </c>
      <c r="J3" s="32" t="s">
        <v>92</v>
      </c>
      <c r="K3" s="55">
        <f t="shared" ref="K3:K45" si="0">E3</f>
        <v>5</v>
      </c>
      <c r="L3" s="77">
        <f t="shared" ref="L3:L46" si="1">K3*2.4</f>
        <v>12</v>
      </c>
    </row>
    <row r="4" spans="1:13" s="72" customFormat="1" x14ac:dyDescent="0.2">
      <c r="A4" s="32" t="s">
        <v>481</v>
      </c>
      <c r="B4" s="32" t="s">
        <v>482</v>
      </c>
      <c r="C4" s="27" t="s">
        <v>72</v>
      </c>
      <c r="D4" s="148" t="s">
        <v>549</v>
      </c>
      <c r="E4" s="27">
        <v>4</v>
      </c>
      <c r="F4" s="27" t="s">
        <v>87</v>
      </c>
      <c r="G4" s="27" t="s">
        <v>461</v>
      </c>
      <c r="H4" s="131" t="s">
        <v>573</v>
      </c>
      <c r="I4" s="32" t="s">
        <v>83</v>
      </c>
      <c r="J4" s="32" t="s">
        <v>92</v>
      </c>
      <c r="K4" s="73">
        <f t="shared" si="0"/>
        <v>4</v>
      </c>
      <c r="L4" s="133">
        <f t="shared" si="1"/>
        <v>9.6</v>
      </c>
      <c r="M4" s="72" t="s">
        <v>742</v>
      </c>
    </row>
    <row r="5" spans="1:13" x14ac:dyDescent="0.2">
      <c r="A5" s="78" t="s">
        <v>483</v>
      </c>
      <c r="B5" s="78" t="s">
        <v>577</v>
      </c>
      <c r="C5" s="84" t="s">
        <v>72</v>
      </c>
      <c r="D5" s="80" t="s">
        <v>549</v>
      </c>
      <c r="E5" s="84">
        <v>4</v>
      </c>
      <c r="F5" s="84" t="s">
        <v>87</v>
      </c>
      <c r="G5" s="84" t="s">
        <v>461</v>
      </c>
      <c r="H5" s="68" t="s">
        <v>573</v>
      </c>
      <c r="I5" s="32" t="s">
        <v>83</v>
      </c>
      <c r="J5" s="32" t="s">
        <v>92</v>
      </c>
      <c r="K5" s="55">
        <f t="shared" si="0"/>
        <v>4</v>
      </c>
      <c r="L5" s="77">
        <f t="shared" si="1"/>
        <v>9.6</v>
      </c>
    </row>
    <row r="6" spans="1:13" s="72" customFormat="1" x14ac:dyDescent="0.2">
      <c r="A6" s="32" t="s">
        <v>484</v>
      </c>
      <c r="B6" s="32" t="s">
        <v>485</v>
      </c>
      <c r="C6" s="27" t="s">
        <v>72</v>
      </c>
      <c r="D6" s="148" t="s">
        <v>486</v>
      </c>
      <c r="E6" s="27">
        <v>6</v>
      </c>
      <c r="F6" s="27" t="s">
        <v>87</v>
      </c>
      <c r="G6" s="27" t="s">
        <v>461</v>
      </c>
      <c r="H6" s="131" t="s">
        <v>164</v>
      </c>
      <c r="I6" s="32" t="s">
        <v>84</v>
      </c>
      <c r="J6" s="32" t="s">
        <v>92</v>
      </c>
      <c r="K6" s="73">
        <v>0</v>
      </c>
      <c r="L6" s="133">
        <f t="shared" si="1"/>
        <v>0</v>
      </c>
      <c r="M6" s="72" t="s">
        <v>743</v>
      </c>
    </row>
    <row r="7" spans="1:13" x14ac:dyDescent="0.2">
      <c r="A7" s="78" t="s">
        <v>487</v>
      </c>
      <c r="B7" s="78" t="s">
        <v>488</v>
      </c>
      <c r="C7" s="84" t="s">
        <v>72</v>
      </c>
      <c r="D7" s="80" t="s">
        <v>549</v>
      </c>
      <c r="E7" s="84">
        <v>13</v>
      </c>
      <c r="F7" s="84" t="s">
        <v>88</v>
      </c>
      <c r="G7" s="84" t="s">
        <v>461</v>
      </c>
      <c r="H7" s="68" t="s">
        <v>573</v>
      </c>
      <c r="I7" s="78" t="s">
        <v>84</v>
      </c>
      <c r="J7" s="26" t="s">
        <v>84</v>
      </c>
      <c r="K7" s="55">
        <f t="shared" si="0"/>
        <v>13</v>
      </c>
      <c r="L7" s="77">
        <f t="shared" si="1"/>
        <v>31.2</v>
      </c>
    </row>
    <row r="8" spans="1:13" x14ac:dyDescent="0.2">
      <c r="A8" s="82" t="s">
        <v>489</v>
      </c>
      <c r="B8" s="82" t="s">
        <v>490</v>
      </c>
      <c r="C8" s="85" t="s">
        <v>72</v>
      </c>
      <c r="D8" s="86" t="s">
        <v>549</v>
      </c>
      <c r="E8" s="85">
        <v>5</v>
      </c>
      <c r="F8" s="85" t="s">
        <v>87</v>
      </c>
      <c r="G8" s="85" t="s">
        <v>461</v>
      </c>
      <c r="H8" s="83" t="s">
        <v>164</v>
      </c>
      <c r="I8" s="82" t="s">
        <v>84</v>
      </c>
      <c r="J8" s="82" t="s">
        <v>92</v>
      </c>
      <c r="K8" s="70">
        <v>0</v>
      </c>
      <c r="L8" s="96">
        <f t="shared" si="1"/>
        <v>0</v>
      </c>
      <c r="M8" s="69" t="s">
        <v>578</v>
      </c>
    </row>
    <row r="9" spans="1:13" x14ac:dyDescent="0.2">
      <c r="A9" s="78" t="s">
        <v>491</v>
      </c>
      <c r="B9" s="78" t="s">
        <v>492</v>
      </c>
      <c r="C9" s="84" t="s">
        <v>72</v>
      </c>
      <c r="D9" s="80" t="s">
        <v>549</v>
      </c>
      <c r="E9" s="84">
        <v>7</v>
      </c>
      <c r="F9" s="84" t="s">
        <v>87</v>
      </c>
      <c r="G9" s="84" t="s">
        <v>461</v>
      </c>
      <c r="H9" s="68" t="s">
        <v>573</v>
      </c>
      <c r="I9" s="78" t="s">
        <v>84</v>
      </c>
      <c r="J9" s="32" t="s">
        <v>92</v>
      </c>
      <c r="K9" s="55">
        <f t="shared" si="0"/>
        <v>7</v>
      </c>
      <c r="L9" s="77">
        <f t="shared" si="1"/>
        <v>16.8</v>
      </c>
    </row>
    <row r="10" spans="1:13" x14ac:dyDescent="0.2">
      <c r="A10" s="78" t="s">
        <v>493</v>
      </c>
      <c r="B10" s="78" t="s">
        <v>494</v>
      </c>
      <c r="C10" s="84" t="s">
        <v>72</v>
      </c>
      <c r="D10" s="80" t="s">
        <v>549</v>
      </c>
      <c r="E10" s="84">
        <v>6</v>
      </c>
      <c r="F10" s="84" t="s">
        <v>87</v>
      </c>
      <c r="G10" s="84" t="s">
        <v>461</v>
      </c>
      <c r="H10" s="68" t="s">
        <v>573</v>
      </c>
      <c r="I10" s="78" t="s">
        <v>84</v>
      </c>
      <c r="J10" s="32" t="s">
        <v>92</v>
      </c>
      <c r="K10" s="55">
        <f t="shared" si="0"/>
        <v>6</v>
      </c>
      <c r="L10" s="77">
        <f t="shared" si="1"/>
        <v>14.399999999999999</v>
      </c>
    </row>
    <row r="11" spans="1:13" x14ac:dyDescent="0.2">
      <c r="A11" s="78" t="s">
        <v>495</v>
      </c>
      <c r="B11" s="78" t="s">
        <v>496</v>
      </c>
      <c r="C11" s="84" t="s">
        <v>72</v>
      </c>
      <c r="D11" s="80" t="s">
        <v>549</v>
      </c>
      <c r="E11" s="84">
        <v>3</v>
      </c>
      <c r="F11" s="84" t="s">
        <v>87</v>
      </c>
      <c r="G11" s="84" t="s">
        <v>461</v>
      </c>
      <c r="H11" s="68" t="s">
        <v>573</v>
      </c>
      <c r="I11" s="78" t="s">
        <v>84</v>
      </c>
      <c r="J11" s="32" t="s">
        <v>92</v>
      </c>
      <c r="K11" s="55">
        <f t="shared" si="0"/>
        <v>3</v>
      </c>
      <c r="L11" s="77">
        <f t="shared" si="1"/>
        <v>7.1999999999999993</v>
      </c>
    </row>
    <row r="12" spans="1:13" x14ac:dyDescent="0.2">
      <c r="A12" s="78" t="s">
        <v>497</v>
      </c>
      <c r="B12" s="78" t="s">
        <v>498</v>
      </c>
      <c r="C12" s="84" t="s">
        <v>72</v>
      </c>
      <c r="D12" s="80" t="s">
        <v>499</v>
      </c>
      <c r="E12" s="84">
        <v>4</v>
      </c>
      <c r="F12" s="84" t="s">
        <v>87</v>
      </c>
      <c r="G12" s="84" t="s">
        <v>461</v>
      </c>
      <c r="H12" s="68" t="s">
        <v>573</v>
      </c>
      <c r="I12" s="32" t="s">
        <v>83</v>
      </c>
      <c r="J12" s="32" t="s">
        <v>92</v>
      </c>
      <c r="K12" s="55">
        <f t="shared" si="0"/>
        <v>4</v>
      </c>
      <c r="L12" s="77">
        <f t="shared" si="1"/>
        <v>9.6</v>
      </c>
    </row>
    <row r="13" spans="1:13" x14ac:dyDescent="0.2">
      <c r="A13" s="78" t="s">
        <v>500</v>
      </c>
      <c r="B13" s="78" t="s">
        <v>501</v>
      </c>
      <c r="C13" s="84" t="s">
        <v>72</v>
      </c>
      <c r="D13" s="80" t="s">
        <v>499</v>
      </c>
      <c r="E13" s="84">
        <v>34</v>
      </c>
      <c r="F13" s="84" t="s">
        <v>88</v>
      </c>
      <c r="G13" s="84" t="s">
        <v>461</v>
      </c>
      <c r="H13" s="68" t="s">
        <v>573</v>
      </c>
      <c r="I13" s="32" t="s">
        <v>83</v>
      </c>
      <c r="J13" s="32" t="s">
        <v>92</v>
      </c>
      <c r="K13" s="55">
        <f t="shared" si="0"/>
        <v>34</v>
      </c>
      <c r="L13" s="77">
        <f t="shared" si="1"/>
        <v>81.599999999999994</v>
      </c>
    </row>
    <row r="14" spans="1:13" x14ac:dyDescent="0.2">
      <c r="A14" s="82" t="s">
        <v>502</v>
      </c>
      <c r="B14" s="82" t="s">
        <v>503</v>
      </c>
      <c r="C14" s="85" t="s">
        <v>72</v>
      </c>
      <c r="D14" s="86" t="s">
        <v>499</v>
      </c>
      <c r="E14" s="85">
        <v>32</v>
      </c>
      <c r="F14" s="85" t="s">
        <v>88</v>
      </c>
      <c r="G14" s="85" t="s">
        <v>461</v>
      </c>
      <c r="H14" s="83" t="s">
        <v>164</v>
      </c>
      <c r="I14" s="82" t="s">
        <v>84</v>
      </c>
      <c r="J14" s="82" t="s">
        <v>84</v>
      </c>
      <c r="K14" s="70">
        <v>0</v>
      </c>
      <c r="L14" s="96">
        <f t="shared" si="1"/>
        <v>0</v>
      </c>
      <c r="M14" s="69" t="s">
        <v>578</v>
      </c>
    </row>
    <row r="15" spans="1:13" x14ac:dyDescent="0.2">
      <c r="A15" s="78" t="s">
        <v>504</v>
      </c>
      <c r="B15" s="78" t="s">
        <v>505</v>
      </c>
      <c r="C15" s="84" t="s">
        <v>72</v>
      </c>
      <c r="D15" s="80" t="s">
        <v>550</v>
      </c>
      <c r="E15" s="84">
        <v>37</v>
      </c>
      <c r="F15" s="84" t="s">
        <v>88</v>
      </c>
      <c r="G15" s="84" t="s">
        <v>461</v>
      </c>
      <c r="H15" s="68" t="s">
        <v>573</v>
      </c>
      <c r="I15" s="32" t="s">
        <v>83</v>
      </c>
      <c r="J15" s="32" t="s">
        <v>92</v>
      </c>
      <c r="K15" s="55">
        <f t="shared" si="0"/>
        <v>37</v>
      </c>
      <c r="L15" s="77">
        <f t="shared" si="1"/>
        <v>88.8</v>
      </c>
    </row>
    <row r="16" spans="1:13" x14ac:dyDescent="0.2">
      <c r="A16" s="78" t="s">
        <v>506</v>
      </c>
      <c r="B16" s="78" t="s">
        <v>507</v>
      </c>
      <c r="C16" s="84" t="s">
        <v>72</v>
      </c>
      <c r="D16" s="80" t="s">
        <v>550</v>
      </c>
      <c r="E16" s="84">
        <v>10</v>
      </c>
      <c r="F16" s="84" t="s">
        <v>88</v>
      </c>
      <c r="G16" s="84" t="s">
        <v>461</v>
      </c>
      <c r="H16" s="68" t="s">
        <v>573</v>
      </c>
      <c r="I16" s="32" t="s">
        <v>83</v>
      </c>
      <c r="J16" s="32" t="s">
        <v>92</v>
      </c>
      <c r="K16" s="55">
        <f t="shared" si="0"/>
        <v>10</v>
      </c>
      <c r="L16" s="77">
        <f t="shared" si="1"/>
        <v>24</v>
      </c>
    </row>
    <row r="17" spans="1:13" x14ac:dyDescent="0.2">
      <c r="A17" s="78" t="s">
        <v>508</v>
      </c>
      <c r="B17" s="78" t="s">
        <v>509</v>
      </c>
      <c r="C17" s="84" t="s">
        <v>72</v>
      </c>
      <c r="D17" s="80" t="s">
        <v>550</v>
      </c>
      <c r="E17" s="84">
        <v>11</v>
      </c>
      <c r="F17" s="84" t="s">
        <v>88</v>
      </c>
      <c r="G17" s="84" t="s">
        <v>461</v>
      </c>
      <c r="H17" s="68" t="s">
        <v>573</v>
      </c>
      <c r="I17" s="32" t="s">
        <v>83</v>
      </c>
      <c r="J17" s="32" t="s">
        <v>92</v>
      </c>
      <c r="K17" s="55">
        <f t="shared" si="0"/>
        <v>11</v>
      </c>
      <c r="L17" s="77">
        <f t="shared" si="1"/>
        <v>26.4</v>
      </c>
    </row>
    <row r="18" spans="1:13" x14ac:dyDescent="0.2">
      <c r="A18" s="82" t="s">
        <v>510</v>
      </c>
      <c r="B18" s="82" t="s">
        <v>511</v>
      </c>
      <c r="C18" s="85" t="s">
        <v>72</v>
      </c>
      <c r="D18" s="86" t="s">
        <v>550</v>
      </c>
      <c r="E18" s="85">
        <v>18</v>
      </c>
      <c r="F18" s="85" t="s">
        <v>88</v>
      </c>
      <c r="G18" s="85" t="s">
        <v>461</v>
      </c>
      <c r="H18" s="83" t="s">
        <v>164</v>
      </c>
      <c r="I18" s="82" t="s">
        <v>84</v>
      </c>
      <c r="J18" s="69" t="s">
        <v>84</v>
      </c>
      <c r="K18" s="70">
        <v>0</v>
      </c>
      <c r="L18" s="96">
        <f t="shared" si="1"/>
        <v>0</v>
      </c>
      <c r="M18" s="69" t="s">
        <v>578</v>
      </c>
    </row>
    <row r="19" spans="1:13" s="72" customFormat="1" x14ac:dyDescent="0.2">
      <c r="A19" s="32" t="s">
        <v>512</v>
      </c>
      <c r="B19" s="32" t="s">
        <v>513</v>
      </c>
      <c r="C19" s="27" t="s">
        <v>72</v>
      </c>
      <c r="D19" s="148" t="s">
        <v>550</v>
      </c>
      <c r="E19" s="27">
        <v>40</v>
      </c>
      <c r="F19" s="27" t="s">
        <v>88</v>
      </c>
      <c r="G19" s="27" t="s">
        <v>461</v>
      </c>
      <c r="H19" s="131" t="s">
        <v>573</v>
      </c>
      <c r="I19" s="32" t="s">
        <v>83</v>
      </c>
      <c r="J19" s="32" t="s">
        <v>92</v>
      </c>
      <c r="K19" s="73">
        <f t="shared" si="0"/>
        <v>40</v>
      </c>
      <c r="L19" s="133">
        <f t="shared" si="1"/>
        <v>96</v>
      </c>
      <c r="M19" s="72" t="s">
        <v>741</v>
      </c>
    </row>
    <row r="20" spans="1:13" x14ac:dyDescent="0.2">
      <c r="A20" s="82" t="s">
        <v>515</v>
      </c>
      <c r="B20" s="82" t="s">
        <v>516</v>
      </c>
      <c r="C20" s="85" t="s">
        <v>72</v>
      </c>
      <c r="D20" s="86" t="s">
        <v>514</v>
      </c>
      <c r="E20" s="85">
        <v>8</v>
      </c>
      <c r="F20" s="85" t="s">
        <v>87</v>
      </c>
      <c r="G20" s="85" t="s">
        <v>461</v>
      </c>
      <c r="H20" s="83" t="s">
        <v>164</v>
      </c>
      <c r="I20" s="82" t="s">
        <v>84</v>
      </c>
      <c r="J20" s="82" t="s">
        <v>92</v>
      </c>
      <c r="K20" s="70">
        <v>0</v>
      </c>
      <c r="L20" s="96">
        <f t="shared" si="1"/>
        <v>0</v>
      </c>
      <c r="M20" s="69" t="s">
        <v>578</v>
      </c>
    </row>
    <row r="21" spans="1:13" x14ac:dyDescent="0.2">
      <c r="A21" s="78" t="s">
        <v>517</v>
      </c>
      <c r="B21" s="78" t="s">
        <v>518</v>
      </c>
      <c r="C21" s="84" t="s">
        <v>72</v>
      </c>
      <c r="D21" s="80" t="s">
        <v>551</v>
      </c>
      <c r="E21" s="84">
        <v>14</v>
      </c>
      <c r="F21" s="84" t="s">
        <v>88</v>
      </c>
      <c r="G21" s="84" t="s">
        <v>461</v>
      </c>
      <c r="H21" s="68" t="s">
        <v>573</v>
      </c>
      <c r="I21" s="32" t="s">
        <v>83</v>
      </c>
      <c r="J21" s="32" t="s">
        <v>92</v>
      </c>
      <c r="K21" s="55">
        <f t="shared" si="0"/>
        <v>14</v>
      </c>
      <c r="L21" s="77">
        <f t="shared" si="1"/>
        <v>33.6</v>
      </c>
    </row>
    <row r="22" spans="1:13" s="72" customFormat="1" x14ac:dyDescent="0.2">
      <c r="A22" s="32" t="s">
        <v>519</v>
      </c>
      <c r="B22" s="32" t="s">
        <v>520</v>
      </c>
      <c r="C22" s="27" t="s">
        <v>72</v>
      </c>
      <c r="D22" s="148" t="s">
        <v>551</v>
      </c>
      <c r="E22" s="27">
        <v>10</v>
      </c>
      <c r="F22" s="27" t="s">
        <v>88</v>
      </c>
      <c r="G22" s="27" t="s">
        <v>461</v>
      </c>
      <c r="H22" s="131" t="s">
        <v>573</v>
      </c>
      <c r="I22" s="32" t="s">
        <v>83</v>
      </c>
      <c r="J22" s="32" t="s">
        <v>92</v>
      </c>
      <c r="K22" s="73">
        <f t="shared" si="0"/>
        <v>10</v>
      </c>
      <c r="L22" s="133">
        <f t="shared" si="1"/>
        <v>24</v>
      </c>
      <c r="M22" s="72" t="s">
        <v>739</v>
      </c>
    </row>
    <row r="23" spans="1:13" x14ac:dyDescent="0.2">
      <c r="A23" s="78" t="s">
        <v>521</v>
      </c>
      <c r="B23" s="78" t="s">
        <v>522</v>
      </c>
      <c r="C23" s="84" t="s">
        <v>72</v>
      </c>
      <c r="D23" s="80" t="s">
        <v>551</v>
      </c>
      <c r="E23" s="84">
        <v>6</v>
      </c>
      <c r="F23" s="84" t="s">
        <v>87</v>
      </c>
      <c r="G23" s="84" t="s">
        <v>461</v>
      </c>
      <c r="H23" s="68" t="s">
        <v>573</v>
      </c>
      <c r="I23" s="32" t="s">
        <v>83</v>
      </c>
      <c r="J23" s="32" t="s">
        <v>92</v>
      </c>
      <c r="K23" s="55">
        <f t="shared" si="0"/>
        <v>6</v>
      </c>
      <c r="L23" s="77">
        <f t="shared" si="1"/>
        <v>14.399999999999999</v>
      </c>
    </row>
    <row r="24" spans="1:13" x14ac:dyDescent="0.2">
      <c r="A24" s="78" t="s">
        <v>523</v>
      </c>
      <c r="B24" s="78" t="s">
        <v>524</v>
      </c>
      <c r="C24" s="84" t="s">
        <v>72</v>
      </c>
      <c r="D24" s="80" t="s">
        <v>551</v>
      </c>
      <c r="E24" s="84">
        <v>20</v>
      </c>
      <c r="F24" s="84" t="s">
        <v>88</v>
      </c>
      <c r="G24" s="84" t="s">
        <v>461</v>
      </c>
      <c r="H24" s="68" t="s">
        <v>573</v>
      </c>
      <c r="I24" s="32" t="s">
        <v>83</v>
      </c>
      <c r="J24" s="32" t="s">
        <v>92</v>
      </c>
      <c r="K24" s="55">
        <f t="shared" si="0"/>
        <v>20</v>
      </c>
      <c r="L24" s="77">
        <f t="shared" si="1"/>
        <v>48</v>
      </c>
    </row>
    <row r="25" spans="1:13" x14ac:dyDescent="0.2">
      <c r="A25" s="78" t="s">
        <v>525</v>
      </c>
      <c r="B25" s="78" t="s">
        <v>526</v>
      </c>
      <c r="C25" s="84" t="s">
        <v>72</v>
      </c>
      <c r="D25" s="80" t="s">
        <v>551</v>
      </c>
      <c r="E25" s="84">
        <v>8</v>
      </c>
      <c r="F25" s="84" t="s">
        <v>87</v>
      </c>
      <c r="G25" s="84" t="s">
        <v>461</v>
      </c>
      <c r="H25" s="68" t="s">
        <v>573</v>
      </c>
      <c r="I25" s="32" t="s">
        <v>83</v>
      </c>
      <c r="J25" s="32" t="s">
        <v>92</v>
      </c>
      <c r="K25" s="55">
        <f t="shared" si="0"/>
        <v>8</v>
      </c>
      <c r="L25" s="77">
        <f t="shared" si="1"/>
        <v>19.2</v>
      </c>
    </row>
    <row r="26" spans="1:13" x14ac:dyDescent="0.2">
      <c r="A26" s="36" t="s">
        <v>527</v>
      </c>
      <c r="B26" s="36" t="s">
        <v>528</v>
      </c>
      <c r="C26" s="35" t="s">
        <v>78</v>
      </c>
      <c r="D26" s="92" t="s">
        <v>551</v>
      </c>
      <c r="E26" s="35">
        <v>24</v>
      </c>
      <c r="F26" s="35" t="s">
        <v>88</v>
      </c>
      <c r="G26" s="35" t="s">
        <v>461</v>
      </c>
      <c r="H26" s="93" t="s">
        <v>573</v>
      </c>
      <c r="I26" s="36" t="s">
        <v>83</v>
      </c>
      <c r="J26" s="36" t="s">
        <v>92</v>
      </c>
      <c r="K26" s="60">
        <f t="shared" si="0"/>
        <v>24</v>
      </c>
      <c r="L26" s="97">
        <f t="shared" si="1"/>
        <v>57.599999999999994</v>
      </c>
      <c r="M26" s="59" t="s">
        <v>579</v>
      </c>
    </row>
    <row r="27" spans="1:13" s="72" customFormat="1" x14ac:dyDescent="0.2">
      <c r="A27" s="32" t="s">
        <v>529</v>
      </c>
      <c r="B27" s="32" t="s">
        <v>530</v>
      </c>
      <c r="C27" s="27" t="s">
        <v>72</v>
      </c>
      <c r="D27" s="148" t="s">
        <v>551</v>
      </c>
      <c r="E27" s="27">
        <v>21</v>
      </c>
      <c r="F27" s="27" t="s">
        <v>88</v>
      </c>
      <c r="G27" s="27" t="s">
        <v>461</v>
      </c>
      <c r="H27" s="131" t="s">
        <v>573</v>
      </c>
      <c r="I27" s="32" t="s">
        <v>83</v>
      </c>
      <c r="J27" s="32" t="s">
        <v>92</v>
      </c>
      <c r="K27" s="73">
        <f t="shared" si="0"/>
        <v>21</v>
      </c>
      <c r="L27" s="133">
        <f t="shared" si="1"/>
        <v>50.4</v>
      </c>
    </row>
    <row r="28" spans="1:13" ht="12" customHeight="1" x14ac:dyDescent="0.2">
      <c r="A28" s="78" t="s">
        <v>531</v>
      </c>
      <c r="B28" s="78" t="s">
        <v>532</v>
      </c>
      <c r="C28" s="84" t="s">
        <v>72</v>
      </c>
      <c r="D28" s="80" t="s">
        <v>551</v>
      </c>
      <c r="E28" s="84">
        <v>7</v>
      </c>
      <c r="F28" s="84" t="s">
        <v>87</v>
      </c>
      <c r="G28" s="84" t="s">
        <v>461</v>
      </c>
      <c r="H28" s="68" t="s">
        <v>573</v>
      </c>
      <c r="I28" s="32" t="s">
        <v>83</v>
      </c>
      <c r="J28" s="32" t="s">
        <v>92</v>
      </c>
      <c r="K28" s="55">
        <f t="shared" si="0"/>
        <v>7</v>
      </c>
      <c r="L28" s="77">
        <f t="shared" si="1"/>
        <v>16.8</v>
      </c>
    </row>
    <row r="29" spans="1:13" x14ac:dyDescent="0.2">
      <c r="A29" s="78" t="s">
        <v>533</v>
      </c>
      <c r="B29" s="78" t="s">
        <v>534</v>
      </c>
      <c r="C29" s="84" t="s">
        <v>72</v>
      </c>
      <c r="D29" s="80" t="s">
        <v>551</v>
      </c>
      <c r="E29" s="84">
        <v>28</v>
      </c>
      <c r="F29" s="84" t="s">
        <v>88</v>
      </c>
      <c r="G29" s="84" t="s">
        <v>461</v>
      </c>
      <c r="H29" s="68" t="s">
        <v>573</v>
      </c>
      <c r="I29" s="32" t="s">
        <v>83</v>
      </c>
      <c r="J29" s="32" t="s">
        <v>92</v>
      </c>
      <c r="K29" s="55">
        <f t="shared" si="0"/>
        <v>28</v>
      </c>
      <c r="L29" s="77">
        <f t="shared" si="1"/>
        <v>67.2</v>
      </c>
    </row>
    <row r="30" spans="1:13" x14ac:dyDescent="0.2">
      <c r="A30" s="78" t="s">
        <v>535</v>
      </c>
      <c r="B30" s="78" t="s">
        <v>536</v>
      </c>
      <c r="C30" s="84" t="s">
        <v>72</v>
      </c>
      <c r="D30" s="80" t="s">
        <v>551</v>
      </c>
      <c r="E30" s="84">
        <v>7</v>
      </c>
      <c r="F30" s="84" t="s">
        <v>87</v>
      </c>
      <c r="G30" s="84" t="s">
        <v>461</v>
      </c>
      <c r="H30" s="68" t="s">
        <v>573</v>
      </c>
      <c r="I30" s="32" t="s">
        <v>83</v>
      </c>
      <c r="J30" s="32" t="s">
        <v>92</v>
      </c>
      <c r="K30" s="55">
        <f t="shared" si="0"/>
        <v>7</v>
      </c>
      <c r="L30" s="77">
        <f t="shared" si="1"/>
        <v>16.8</v>
      </c>
    </row>
    <row r="31" spans="1:13" x14ac:dyDescent="0.2">
      <c r="A31" s="78" t="s">
        <v>537</v>
      </c>
      <c r="B31" s="78" t="s">
        <v>538</v>
      </c>
      <c r="C31" s="84" t="s">
        <v>72</v>
      </c>
      <c r="D31" s="80" t="s">
        <v>551</v>
      </c>
      <c r="E31" s="84">
        <v>8</v>
      </c>
      <c r="F31" s="84" t="s">
        <v>87</v>
      </c>
      <c r="G31" s="84" t="s">
        <v>461</v>
      </c>
      <c r="H31" s="68" t="s">
        <v>573</v>
      </c>
      <c r="I31" s="32" t="s">
        <v>84</v>
      </c>
      <c r="J31" s="32" t="s">
        <v>92</v>
      </c>
      <c r="K31" s="55">
        <f t="shared" si="0"/>
        <v>8</v>
      </c>
      <c r="L31" s="77">
        <f t="shared" si="1"/>
        <v>19.2</v>
      </c>
    </row>
    <row r="32" spans="1:13" s="72" customFormat="1" x14ac:dyDescent="0.2">
      <c r="A32" s="32" t="s">
        <v>539</v>
      </c>
      <c r="B32" s="32" t="s">
        <v>540</v>
      </c>
      <c r="C32" s="27" t="s">
        <v>72</v>
      </c>
      <c r="D32" s="148" t="s">
        <v>551</v>
      </c>
      <c r="E32" s="27">
        <v>58</v>
      </c>
      <c r="F32" s="27" t="s">
        <v>88</v>
      </c>
      <c r="G32" s="27" t="s">
        <v>462</v>
      </c>
      <c r="H32" s="131" t="s">
        <v>573</v>
      </c>
      <c r="I32" s="32" t="s">
        <v>83</v>
      </c>
      <c r="J32" s="32" t="s">
        <v>92</v>
      </c>
      <c r="K32" s="73">
        <f t="shared" si="0"/>
        <v>58</v>
      </c>
      <c r="L32" s="133">
        <f t="shared" si="1"/>
        <v>139.19999999999999</v>
      </c>
      <c r="M32" s="72" t="s">
        <v>739</v>
      </c>
    </row>
    <row r="33" spans="1:13" s="72" customFormat="1" x14ac:dyDescent="0.2">
      <c r="A33" s="32" t="s">
        <v>541</v>
      </c>
      <c r="B33" s="32" t="s">
        <v>542</v>
      </c>
      <c r="C33" s="27" t="s">
        <v>72</v>
      </c>
      <c r="D33" s="148" t="s">
        <v>551</v>
      </c>
      <c r="E33" s="27">
        <v>27</v>
      </c>
      <c r="F33" s="27" t="s">
        <v>88</v>
      </c>
      <c r="G33" s="27" t="s">
        <v>461</v>
      </c>
      <c r="H33" s="131" t="s">
        <v>573</v>
      </c>
      <c r="I33" s="32" t="s">
        <v>83</v>
      </c>
      <c r="J33" s="32" t="s">
        <v>92</v>
      </c>
      <c r="K33" s="73">
        <f t="shared" si="0"/>
        <v>27</v>
      </c>
      <c r="L33" s="133">
        <f t="shared" si="1"/>
        <v>64.8</v>
      </c>
      <c r="M33" s="72" t="s">
        <v>739</v>
      </c>
    </row>
    <row r="34" spans="1:13" x14ac:dyDescent="0.2">
      <c r="A34" s="82" t="s">
        <v>543</v>
      </c>
      <c r="B34" s="82" t="s">
        <v>544</v>
      </c>
      <c r="C34" s="85" t="s">
        <v>72</v>
      </c>
      <c r="D34" s="86" t="s">
        <v>551</v>
      </c>
      <c r="E34" s="85">
        <v>10</v>
      </c>
      <c r="F34" s="85" t="s">
        <v>88</v>
      </c>
      <c r="G34" s="85" t="s">
        <v>461</v>
      </c>
      <c r="H34" s="83" t="s">
        <v>164</v>
      </c>
      <c r="I34" s="82" t="s">
        <v>84</v>
      </c>
      <c r="J34" s="82" t="s">
        <v>84</v>
      </c>
      <c r="K34" s="70">
        <v>0</v>
      </c>
      <c r="L34" s="96">
        <f t="shared" si="1"/>
        <v>0</v>
      </c>
      <c r="M34" s="69" t="s">
        <v>578</v>
      </c>
    </row>
    <row r="35" spans="1:13" x14ac:dyDescent="0.2">
      <c r="A35" s="78" t="s">
        <v>545</v>
      </c>
      <c r="B35" s="78" t="s">
        <v>546</v>
      </c>
      <c r="C35" s="84" t="s">
        <v>72</v>
      </c>
      <c r="D35" s="80" t="s">
        <v>551</v>
      </c>
      <c r="E35" s="84">
        <v>30</v>
      </c>
      <c r="F35" s="84" t="s">
        <v>88</v>
      </c>
      <c r="G35" s="84" t="s">
        <v>461</v>
      </c>
      <c r="H35" s="68" t="s">
        <v>573</v>
      </c>
      <c r="I35" s="32" t="s">
        <v>83</v>
      </c>
      <c r="J35" s="32" t="s">
        <v>92</v>
      </c>
      <c r="K35" s="55">
        <f t="shared" si="0"/>
        <v>30</v>
      </c>
      <c r="L35" s="77">
        <f t="shared" si="1"/>
        <v>72</v>
      </c>
    </row>
    <row r="36" spans="1:13" ht="42" customHeight="1" x14ac:dyDescent="0.2">
      <c r="A36" s="87" t="s">
        <v>547</v>
      </c>
      <c r="B36" s="87" t="s">
        <v>548</v>
      </c>
      <c r="C36" s="89" t="s">
        <v>72</v>
      </c>
      <c r="D36" s="88" t="s">
        <v>551</v>
      </c>
      <c r="E36" s="89">
        <v>55</v>
      </c>
      <c r="F36" s="89" t="s">
        <v>88</v>
      </c>
      <c r="G36" s="89" t="s">
        <v>462</v>
      </c>
      <c r="H36" s="90" t="s">
        <v>164</v>
      </c>
      <c r="I36" s="87" t="s">
        <v>84</v>
      </c>
      <c r="J36" s="87" t="s">
        <v>84</v>
      </c>
      <c r="K36" s="65">
        <f>E36*0.25</f>
        <v>13.75</v>
      </c>
      <c r="L36" s="95">
        <f t="shared" si="1"/>
        <v>33</v>
      </c>
      <c r="M36" s="64" t="s">
        <v>574</v>
      </c>
    </row>
    <row r="37" spans="1:13" x14ac:dyDescent="0.2">
      <c r="A37" s="87" t="s">
        <v>552</v>
      </c>
      <c r="B37" s="87" t="s">
        <v>553</v>
      </c>
      <c r="C37" s="89" t="s">
        <v>72</v>
      </c>
      <c r="D37" s="88" t="s">
        <v>549</v>
      </c>
      <c r="E37" s="89">
        <v>200</v>
      </c>
      <c r="F37" s="89" t="s">
        <v>88</v>
      </c>
      <c r="G37" s="89" t="s">
        <v>462</v>
      </c>
      <c r="H37" s="90" t="s">
        <v>164</v>
      </c>
      <c r="I37" s="87" t="s">
        <v>84</v>
      </c>
      <c r="J37" s="62" t="s">
        <v>84</v>
      </c>
      <c r="K37" s="65">
        <f>E37*0.25</f>
        <v>50</v>
      </c>
      <c r="L37" s="95">
        <f t="shared" si="1"/>
        <v>120</v>
      </c>
      <c r="M37" s="62" t="s">
        <v>575</v>
      </c>
    </row>
    <row r="38" spans="1:13" s="72" customFormat="1" x14ac:dyDescent="0.2">
      <c r="A38" s="82" t="s">
        <v>554</v>
      </c>
      <c r="B38" s="82" t="s">
        <v>555</v>
      </c>
      <c r="C38" s="85" t="s">
        <v>72</v>
      </c>
      <c r="D38" s="86" t="s">
        <v>551</v>
      </c>
      <c r="E38" s="85">
        <v>0</v>
      </c>
      <c r="F38" s="85" t="s">
        <v>87</v>
      </c>
      <c r="G38" s="85" t="s">
        <v>461</v>
      </c>
      <c r="H38" s="83" t="s">
        <v>164</v>
      </c>
      <c r="I38" s="82" t="s">
        <v>83</v>
      </c>
      <c r="J38" s="69" t="s">
        <v>92</v>
      </c>
      <c r="K38" s="70">
        <f t="shared" si="0"/>
        <v>0</v>
      </c>
      <c r="L38" s="96">
        <f t="shared" si="1"/>
        <v>0</v>
      </c>
      <c r="M38" s="69" t="s">
        <v>738</v>
      </c>
    </row>
    <row r="39" spans="1:13" s="72" customFormat="1" x14ac:dyDescent="0.2">
      <c r="A39" s="131" t="s">
        <v>556</v>
      </c>
      <c r="B39" s="131" t="s">
        <v>557</v>
      </c>
      <c r="C39" s="27" t="s">
        <v>72</v>
      </c>
      <c r="D39" s="132" t="s">
        <v>551</v>
      </c>
      <c r="E39" s="73">
        <v>50</v>
      </c>
      <c r="F39" s="27" t="s">
        <v>88</v>
      </c>
      <c r="G39" s="27" t="s">
        <v>462</v>
      </c>
      <c r="H39" s="131" t="s">
        <v>164</v>
      </c>
      <c r="I39" s="32" t="s">
        <v>83</v>
      </c>
      <c r="J39" s="72" t="s">
        <v>92</v>
      </c>
      <c r="K39" s="73">
        <f>E39*0.25</f>
        <v>12.5</v>
      </c>
      <c r="L39" s="133">
        <f t="shared" si="1"/>
        <v>30</v>
      </c>
      <c r="M39" s="72" t="s">
        <v>740</v>
      </c>
    </row>
    <row r="40" spans="1:13" s="72" customFormat="1" x14ac:dyDescent="0.2">
      <c r="A40" s="131" t="s">
        <v>558</v>
      </c>
      <c r="B40" s="131" t="s">
        <v>559</v>
      </c>
      <c r="C40" s="27" t="s">
        <v>72</v>
      </c>
      <c r="D40" s="132" t="s">
        <v>549</v>
      </c>
      <c r="E40" s="73">
        <v>6</v>
      </c>
      <c r="F40" s="27" t="s">
        <v>87</v>
      </c>
      <c r="G40" s="27" t="s">
        <v>461</v>
      </c>
      <c r="H40" s="131" t="s">
        <v>573</v>
      </c>
      <c r="I40" s="32" t="s">
        <v>82</v>
      </c>
      <c r="J40" s="72" t="s">
        <v>92</v>
      </c>
      <c r="K40" s="73">
        <f t="shared" si="0"/>
        <v>6</v>
      </c>
      <c r="L40" s="133">
        <f t="shared" si="1"/>
        <v>14.399999999999999</v>
      </c>
      <c r="M40" s="72" t="s">
        <v>742</v>
      </c>
    </row>
    <row r="41" spans="1:13" x14ac:dyDescent="0.2">
      <c r="A41" s="68" t="s">
        <v>560</v>
      </c>
      <c r="B41" s="68" t="s">
        <v>561</v>
      </c>
      <c r="C41" s="84" t="s">
        <v>72</v>
      </c>
      <c r="D41" s="81" t="s">
        <v>550</v>
      </c>
      <c r="E41" s="55">
        <v>6</v>
      </c>
      <c r="F41" s="84" t="s">
        <v>87</v>
      </c>
      <c r="G41" s="84" t="s">
        <v>461</v>
      </c>
      <c r="H41" s="68" t="s">
        <v>573</v>
      </c>
      <c r="I41" s="68" t="s">
        <v>82</v>
      </c>
      <c r="J41" s="26" t="s">
        <v>92</v>
      </c>
      <c r="K41" s="55">
        <f t="shared" si="0"/>
        <v>6</v>
      </c>
      <c r="L41" s="77">
        <f t="shared" si="1"/>
        <v>14.399999999999999</v>
      </c>
    </row>
    <row r="42" spans="1:13" s="72" customFormat="1" x14ac:dyDescent="0.2">
      <c r="A42" s="131" t="s">
        <v>562</v>
      </c>
      <c r="B42" s="131" t="s">
        <v>563</v>
      </c>
      <c r="C42" s="27" t="s">
        <v>72</v>
      </c>
      <c r="D42" s="132" t="s">
        <v>551</v>
      </c>
      <c r="E42" s="73">
        <v>5</v>
      </c>
      <c r="F42" s="27" t="s">
        <v>87</v>
      </c>
      <c r="G42" s="27" t="s">
        <v>461</v>
      </c>
      <c r="H42" s="131" t="s">
        <v>573</v>
      </c>
      <c r="I42" s="131" t="s">
        <v>82</v>
      </c>
      <c r="J42" s="72" t="s">
        <v>92</v>
      </c>
      <c r="K42" s="73">
        <f t="shared" si="0"/>
        <v>5</v>
      </c>
      <c r="L42" s="133">
        <f t="shared" si="1"/>
        <v>12</v>
      </c>
      <c r="M42" s="72" t="s">
        <v>739</v>
      </c>
    </row>
    <row r="43" spans="1:13" x14ac:dyDescent="0.2">
      <c r="A43" s="131" t="s">
        <v>564</v>
      </c>
      <c r="B43" s="131" t="s">
        <v>565</v>
      </c>
      <c r="C43" s="27" t="s">
        <v>72</v>
      </c>
      <c r="D43" s="132" t="s">
        <v>551</v>
      </c>
      <c r="E43" s="73">
        <v>10</v>
      </c>
      <c r="F43" s="73" t="s">
        <v>88</v>
      </c>
      <c r="G43" s="73" t="s">
        <v>462</v>
      </c>
      <c r="H43" s="68" t="s">
        <v>573</v>
      </c>
      <c r="I43" s="131" t="s">
        <v>82</v>
      </c>
      <c r="J43" s="72" t="s">
        <v>82</v>
      </c>
      <c r="K43" s="73">
        <v>10</v>
      </c>
      <c r="L43" s="133">
        <f t="shared" si="1"/>
        <v>24</v>
      </c>
      <c r="M43" s="72"/>
    </row>
    <row r="44" spans="1:13" x14ac:dyDescent="0.2">
      <c r="A44" s="68" t="s">
        <v>566</v>
      </c>
      <c r="B44" s="68" t="s">
        <v>567</v>
      </c>
      <c r="C44" s="84" t="s">
        <v>72</v>
      </c>
      <c r="D44" s="81" t="s">
        <v>551</v>
      </c>
      <c r="E44" s="55">
        <v>19</v>
      </c>
      <c r="F44" s="84" t="s">
        <v>88</v>
      </c>
      <c r="G44" s="84" t="s">
        <v>461</v>
      </c>
      <c r="H44" s="68" t="s">
        <v>573</v>
      </c>
      <c r="I44" s="68" t="s">
        <v>82</v>
      </c>
      <c r="J44" s="68" t="s">
        <v>82</v>
      </c>
      <c r="K44" s="55">
        <f t="shared" si="0"/>
        <v>19</v>
      </c>
      <c r="L44" s="77">
        <f t="shared" si="1"/>
        <v>45.6</v>
      </c>
    </row>
    <row r="45" spans="1:13" s="72" customFormat="1" x14ac:dyDescent="0.2">
      <c r="A45" s="131" t="s">
        <v>568</v>
      </c>
      <c r="B45" s="131" t="s">
        <v>569</v>
      </c>
      <c r="C45" s="27" t="s">
        <v>72</v>
      </c>
      <c r="D45" s="132" t="s">
        <v>551</v>
      </c>
      <c r="E45" s="73">
        <v>100</v>
      </c>
      <c r="F45" s="27" t="s">
        <v>88</v>
      </c>
      <c r="G45" s="27" t="s">
        <v>462</v>
      </c>
      <c r="H45" s="131" t="s">
        <v>573</v>
      </c>
      <c r="I45" s="131" t="s">
        <v>82</v>
      </c>
      <c r="J45" s="131" t="s">
        <v>82</v>
      </c>
      <c r="K45" s="73">
        <f t="shared" si="0"/>
        <v>100</v>
      </c>
      <c r="L45" s="133">
        <f t="shared" si="1"/>
        <v>240</v>
      </c>
      <c r="M45" s="72" t="s">
        <v>739</v>
      </c>
    </row>
    <row r="46" spans="1:13" ht="38.25" x14ac:dyDescent="0.2">
      <c r="A46" s="90" t="s">
        <v>570</v>
      </c>
      <c r="B46" s="90" t="s">
        <v>571</v>
      </c>
      <c r="C46" s="89" t="s">
        <v>72</v>
      </c>
      <c r="D46" s="91" t="s">
        <v>551</v>
      </c>
      <c r="E46" s="65">
        <v>78</v>
      </c>
      <c r="F46" s="89" t="s">
        <v>88</v>
      </c>
      <c r="G46" s="89" t="s">
        <v>462</v>
      </c>
      <c r="H46" s="64" t="s">
        <v>572</v>
      </c>
      <c r="I46" s="62" t="s">
        <v>83</v>
      </c>
      <c r="J46" s="62" t="s">
        <v>92</v>
      </c>
      <c r="K46" s="65">
        <v>34.125</v>
      </c>
      <c r="L46" s="95">
        <f t="shared" si="1"/>
        <v>81.899999999999991</v>
      </c>
      <c r="M46" s="64" t="s">
        <v>576</v>
      </c>
    </row>
    <row r="47" spans="1:13" x14ac:dyDescent="0.2">
      <c r="A47" s="90" t="s">
        <v>667</v>
      </c>
      <c r="B47" s="90" t="s">
        <v>668</v>
      </c>
      <c r="C47" s="89" t="s">
        <v>72</v>
      </c>
      <c r="D47" s="91" t="s">
        <v>551</v>
      </c>
      <c r="E47" s="65">
        <v>62</v>
      </c>
      <c r="F47" s="89" t="s">
        <v>88</v>
      </c>
      <c r="G47" s="89" t="s">
        <v>462</v>
      </c>
      <c r="H47" s="90" t="s">
        <v>164</v>
      </c>
      <c r="I47" s="62" t="s">
        <v>83</v>
      </c>
      <c r="J47" s="62" t="s">
        <v>92</v>
      </c>
      <c r="K47" s="65">
        <f>E47*0.25</f>
        <v>15.5</v>
      </c>
      <c r="L47" s="95">
        <f>K47*2.4</f>
        <v>37.199999999999996</v>
      </c>
      <c r="M47" s="62" t="s">
        <v>575</v>
      </c>
    </row>
    <row r="48" spans="1:13" x14ac:dyDescent="0.2">
      <c r="A48" s="38" t="s">
        <v>0</v>
      </c>
      <c r="E48" s="25">
        <f>SUM(E2:E47)</f>
        <v>1123</v>
      </c>
      <c r="K48" s="120">
        <f>SUM(K2:K47)</f>
        <v>724.875</v>
      </c>
      <c r="L48" s="120">
        <f>K48*2.4</f>
        <v>1739.7</v>
      </c>
    </row>
    <row r="49" spans="1:12" x14ac:dyDescent="0.2">
      <c r="A49" s="38"/>
      <c r="E49" s="25"/>
      <c r="K49" s="25"/>
      <c r="L49" s="76"/>
    </row>
    <row r="50" spans="1:12" x14ac:dyDescent="0.2">
      <c r="E50" s="25" t="s">
        <v>580</v>
      </c>
      <c r="F50" s="25" t="s">
        <v>581</v>
      </c>
    </row>
    <row r="51" spans="1:12" x14ac:dyDescent="0.2">
      <c r="A51" s="38" t="s">
        <v>471</v>
      </c>
      <c r="E51" s="120">
        <v>129</v>
      </c>
      <c r="F51" s="120">
        <f>E51*2.4</f>
        <v>309.59999999999997</v>
      </c>
    </row>
    <row r="52" spans="1:12" x14ac:dyDescent="0.2">
      <c r="A52" s="38" t="s">
        <v>101</v>
      </c>
      <c r="E52" s="120">
        <v>76.75</v>
      </c>
      <c r="F52" s="120">
        <f t="shared" ref="F52:F53" si="2">E52*2.4</f>
        <v>184.2</v>
      </c>
    </row>
    <row r="53" spans="1:12" x14ac:dyDescent="0.2">
      <c r="A53" s="38" t="s">
        <v>102</v>
      </c>
      <c r="E53" s="120">
        <v>426.125</v>
      </c>
      <c r="F53" s="120">
        <f t="shared" si="2"/>
        <v>1022.6999999999999</v>
      </c>
    </row>
    <row r="54" spans="1:12" x14ac:dyDescent="0.2">
      <c r="A54" s="38" t="s">
        <v>91</v>
      </c>
      <c r="E54" s="120">
        <v>93</v>
      </c>
      <c r="F54" s="120">
        <f>E54*2.4</f>
        <v>223.2</v>
      </c>
    </row>
    <row r="55" spans="1:12" ht="12" customHeight="1" x14ac:dyDescent="0.2">
      <c r="E55" s="77"/>
      <c r="F55" s="120"/>
    </row>
    <row r="56" spans="1:12" x14ac:dyDescent="0.2">
      <c r="A56" s="38" t="s">
        <v>589</v>
      </c>
      <c r="E56" s="120">
        <f>599+19.5</f>
        <v>618.5</v>
      </c>
      <c r="F56" s="120">
        <f t="shared" ref="F56:F57" si="3">E56*2.4</f>
        <v>1484.3999999999999</v>
      </c>
    </row>
    <row r="57" spans="1:12" x14ac:dyDescent="0.2">
      <c r="A57" s="38" t="s">
        <v>590</v>
      </c>
      <c r="E57" s="120">
        <f>91.75+14.625</f>
        <v>106.375</v>
      </c>
      <c r="F57" s="120">
        <f t="shared" si="3"/>
        <v>255.29999999999998</v>
      </c>
    </row>
    <row r="60" spans="1:12" x14ac:dyDescent="0.2">
      <c r="A60" s="72"/>
    </row>
  </sheetData>
  <sheetProtection algorithmName="SHA-512" hashValue="VzFN6Ic3nAYzUqD0/ULlmjBsF8+sClJGA5Ik48H5ExZk+zkcqi7q0fz1jheh5d68nziBJPWTUORgYneNe+fVJQ==" saltValue="aVwmzcSnwrRtgGwxXvPVKA==" spinCount="100000" sheet="1" objects="1" scenarios="1"/>
  <autoFilter ref="A1:M48" xr:uid="{8F5D1415-0348-4C06-86DA-7867C37D272F}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ED09F-15F2-4C39-9BCE-4E5BA6C8F298}">
  <dimension ref="A1:E17"/>
  <sheetViews>
    <sheetView workbookViewId="0">
      <selection activeCell="C14" sqref="C14"/>
    </sheetView>
  </sheetViews>
  <sheetFormatPr defaultRowHeight="15" x14ac:dyDescent="0.25"/>
  <cols>
    <col min="1" max="1" width="12.42578125" bestFit="1" customWidth="1"/>
    <col min="3" max="3" width="31.140625" bestFit="1" customWidth="1"/>
    <col min="4" max="4" width="22" bestFit="1" customWidth="1"/>
  </cols>
  <sheetData>
    <row r="1" spans="1:5" x14ac:dyDescent="0.25">
      <c r="A1" s="38" t="s">
        <v>610</v>
      </c>
      <c r="B1" s="25" t="s">
        <v>599</v>
      </c>
      <c r="C1" s="25" t="s">
        <v>611</v>
      </c>
      <c r="D1" s="25" t="s">
        <v>612</v>
      </c>
      <c r="E1" s="26"/>
    </row>
    <row r="2" spans="1:5" x14ac:dyDescent="0.25">
      <c r="A2" s="38" t="s">
        <v>613</v>
      </c>
      <c r="B2" s="55">
        <v>88</v>
      </c>
      <c r="C2" s="55">
        <v>12</v>
      </c>
      <c r="D2" s="55">
        <v>0</v>
      </c>
      <c r="E2" s="26"/>
    </row>
    <row r="3" spans="1:5" x14ac:dyDescent="0.25">
      <c r="A3" s="38" t="s">
        <v>614</v>
      </c>
      <c r="B3" s="55">
        <v>73</v>
      </c>
      <c r="C3" s="55">
        <v>22</v>
      </c>
      <c r="D3" s="55">
        <v>0</v>
      </c>
      <c r="E3" s="26"/>
    </row>
    <row r="4" spans="1:5" x14ac:dyDescent="0.25">
      <c r="A4" s="38" t="s">
        <v>615</v>
      </c>
      <c r="B4" s="102">
        <v>149</v>
      </c>
      <c r="C4" s="102">
        <v>16</v>
      </c>
      <c r="D4" s="102">
        <v>0</v>
      </c>
      <c r="E4" s="26"/>
    </row>
    <row r="5" spans="1:5" x14ac:dyDescent="0.25">
      <c r="A5" s="38" t="s">
        <v>616</v>
      </c>
      <c r="B5" s="55">
        <v>47</v>
      </c>
      <c r="C5" s="55">
        <v>5</v>
      </c>
      <c r="D5" s="55">
        <v>0</v>
      </c>
      <c r="E5" s="26"/>
    </row>
    <row r="6" spans="1:5" x14ac:dyDescent="0.25">
      <c r="A6" s="38" t="s">
        <v>586</v>
      </c>
      <c r="B6" s="55">
        <v>84</v>
      </c>
      <c r="C6" s="55">
        <v>13</v>
      </c>
      <c r="D6" s="55">
        <v>0</v>
      </c>
      <c r="E6" s="26"/>
    </row>
    <row r="7" spans="1:5" x14ac:dyDescent="0.25">
      <c r="A7" s="38" t="s">
        <v>585</v>
      </c>
      <c r="B7" s="55">
        <v>97</v>
      </c>
      <c r="C7" s="55">
        <v>17</v>
      </c>
      <c r="D7" s="55">
        <v>0</v>
      </c>
    </row>
    <row r="8" spans="1:5" x14ac:dyDescent="0.25">
      <c r="A8" s="38" t="s">
        <v>584</v>
      </c>
      <c r="B8" s="55">
        <v>66</v>
      </c>
      <c r="C8" s="55">
        <v>13</v>
      </c>
      <c r="D8" s="55">
        <v>0</v>
      </c>
    </row>
    <row r="9" spans="1:5" x14ac:dyDescent="0.25">
      <c r="B9" s="100"/>
      <c r="C9" s="100"/>
      <c r="D9" s="100"/>
    </row>
    <row r="10" spans="1:5" x14ac:dyDescent="0.25">
      <c r="A10" s="38" t="s">
        <v>0</v>
      </c>
      <c r="B10" s="101">
        <f>SUM(B2:B8)</f>
        <v>604</v>
      </c>
      <c r="C10" s="101">
        <f>SUM(C2:C8)</f>
        <v>98</v>
      </c>
      <c r="D10" s="101">
        <f t="shared" ref="D10" si="0">SUM(D2:D8)</f>
        <v>0</v>
      </c>
    </row>
    <row r="11" spans="1:5" x14ac:dyDescent="0.25">
      <c r="A11" s="38" t="s">
        <v>665</v>
      </c>
      <c r="B11" s="104">
        <f>AVERAGE(B4:B8)</f>
        <v>88.6</v>
      </c>
      <c r="C11" s="104">
        <f>AVERAGE(C4:C8)</f>
        <v>12.8</v>
      </c>
      <c r="D11" s="104">
        <f t="shared" ref="D11" si="1">AVERAGE(D2:D8)</f>
        <v>0</v>
      </c>
    </row>
    <row r="12" spans="1:5" x14ac:dyDescent="0.25">
      <c r="A12" s="38"/>
      <c r="B12" s="104"/>
      <c r="C12" s="104"/>
      <c r="D12" s="104"/>
    </row>
    <row r="13" spans="1:5" x14ac:dyDescent="0.25">
      <c r="A13" s="38" t="s">
        <v>663</v>
      </c>
      <c r="B13" s="104">
        <f>B11*10</f>
        <v>886</v>
      </c>
      <c r="C13" s="104">
        <f>C11*10</f>
        <v>128</v>
      </c>
      <c r="D13" s="101">
        <v>0</v>
      </c>
    </row>
    <row r="14" spans="1:5" x14ac:dyDescent="0.25">
      <c r="A14" s="38" t="s">
        <v>664</v>
      </c>
      <c r="B14" s="104">
        <f>B11*5</f>
        <v>443</v>
      </c>
      <c r="C14" s="104">
        <f>C11*5</f>
        <v>64</v>
      </c>
      <c r="D14" s="101">
        <v>0</v>
      </c>
    </row>
    <row r="15" spans="1:5" x14ac:dyDescent="0.25">
      <c r="A15" s="38"/>
      <c r="C15" s="104"/>
      <c r="D15" s="101"/>
    </row>
    <row r="16" spans="1:5" ht="14.25" customHeight="1" x14ac:dyDescent="0.25">
      <c r="A16" t="s">
        <v>633</v>
      </c>
      <c r="B16" t="s">
        <v>634</v>
      </c>
    </row>
    <row r="17" spans="2:2" x14ac:dyDescent="0.25">
      <c r="B17" t="s">
        <v>635</v>
      </c>
    </row>
  </sheetData>
  <sheetProtection algorithmName="SHA-512" hashValue="BZ1e9nlaxCXzy5M8m2/VI+uJfboJ2lnr50+BsKPY0DU7T/uDPlX/DOUVhY4v+KuhI5DvIn7g0VvWcCEBuoBINA==" saltValue="qOY5b93UoVAUzAIENkbqag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590CB-B721-4AA2-A3C9-9999FF92C9CE}">
  <dimension ref="A1:O72"/>
  <sheetViews>
    <sheetView workbookViewId="0">
      <selection activeCell="H19" sqref="H19"/>
    </sheetView>
  </sheetViews>
  <sheetFormatPr defaultRowHeight="12.75" x14ac:dyDescent="0.2"/>
  <cols>
    <col min="1" max="1" width="16.28515625" style="26" customWidth="1"/>
    <col min="2" max="2" width="17" style="26" customWidth="1"/>
    <col min="3" max="3" width="14.85546875" style="26" bestFit="1" customWidth="1"/>
    <col min="4" max="4" width="11.5703125" style="26" bestFit="1" customWidth="1"/>
    <col min="5" max="5" width="19.7109375" style="26" bestFit="1" customWidth="1"/>
    <col min="6" max="6" width="17.42578125" style="26" bestFit="1" customWidth="1"/>
    <col min="7" max="7" width="14.140625" style="26" bestFit="1" customWidth="1"/>
    <col min="8" max="8" width="23.140625" style="26" bestFit="1" customWidth="1"/>
    <col min="9" max="9" width="11" style="26" bestFit="1" customWidth="1"/>
    <col min="10" max="10" width="8.42578125" style="26" customWidth="1"/>
    <col min="11" max="11" width="10.42578125" style="26" bestFit="1" customWidth="1"/>
    <col min="12" max="12" width="9.140625" style="26"/>
    <col min="13" max="13" width="10.85546875" style="26" bestFit="1" customWidth="1"/>
    <col min="14" max="14" width="8" style="26" customWidth="1"/>
    <col min="15" max="15" width="10.42578125" style="26" bestFit="1" customWidth="1"/>
    <col min="16" max="16384" width="9.140625" style="26"/>
  </cols>
  <sheetData>
    <row r="1" spans="1:10" x14ac:dyDescent="0.2">
      <c r="A1" s="38" t="s">
        <v>660</v>
      </c>
    </row>
    <row r="3" spans="1:10" x14ac:dyDescent="0.2">
      <c r="A3" s="38" t="s">
        <v>625</v>
      </c>
    </row>
    <row r="4" spans="1:10" x14ac:dyDescent="0.2">
      <c r="A4" s="26" t="s">
        <v>621</v>
      </c>
      <c r="B4" s="26" t="s">
        <v>628</v>
      </c>
      <c r="C4" s="26" t="s">
        <v>629</v>
      </c>
      <c r="D4" s="26" t="s">
        <v>582</v>
      </c>
      <c r="E4" s="26" t="s">
        <v>630</v>
      </c>
      <c r="F4" s="26" t="s">
        <v>631</v>
      </c>
      <c r="G4" s="26" t="s">
        <v>583</v>
      </c>
      <c r="H4" s="26" t="s">
        <v>637</v>
      </c>
    </row>
    <row r="6" spans="1:10" x14ac:dyDescent="0.2">
      <c r="A6" s="26" t="s">
        <v>622</v>
      </c>
      <c r="B6" s="117">
        <v>55</v>
      </c>
      <c r="C6" s="117">
        <v>0</v>
      </c>
      <c r="D6" s="117">
        <f>B6+C6</f>
        <v>55</v>
      </c>
      <c r="E6" s="117">
        <f>C26</f>
        <v>110.85250000000001</v>
      </c>
      <c r="F6" s="117">
        <f>C6*2.4</f>
        <v>0</v>
      </c>
      <c r="G6" s="117">
        <f>E6+F6</f>
        <v>110.85250000000001</v>
      </c>
      <c r="H6" s="110">
        <f>(G6/1000)*8</f>
        <v>0.88682000000000005</v>
      </c>
      <c r="I6" s="128"/>
      <c r="J6" s="129"/>
    </row>
    <row r="7" spans="1:10" x14ac:dyDescent="0.2">
      <c r="A7" s="26" t="s">
        <v>623</v>
      </c>
      <c r="B7" s="117">
        <v>142</v>
      </c>
      <c r="C7" s="117">
        <f>'Windfall Rate'!C14</f>
        <v>64</v>
      </c>
      <c r="D7" s="117">
        <f t="shared" ref="D7:D8" si="0">B7+C7</f>
        <v>206</v>
      </c>
      <c r="E7" s="117">
        <f>C43</f>
        <v>286.20100000000002</v>
      </c>
      <c r="F7" s="117">
        <f>C7*2.4</f>
        <v>153.6</v>
      </c>
      <c r="G7" s="117">
        <f>E7+F7</f>
        <v>439.80100000000004</v>
      </c>
      <c r="H7" s="110">
        <f>(G7/1000)*8</f>
        <v>3.5184080000000004</v>
      </c>
    </row>
    <row r="8" spans="1:10" x14ac:dyDescent="0.2">
      <c r="A8" s="26" t="s">
        <v>624</v>
      </c>
      <c r="B8" s="117">
        <f>402+19.5</f>
        <v>421.5</v>
      </c>
      <c r="C8" s="117">
        <f>'Windfall Rate'!C14</f>
        <v>64</v>
      </c>
      <c r="D8" s="117">
        <f t="shared" si="0"/>
        <v>485.5</v>
      </c>
      <c r="E8" s="117">
        <f>C60</f>
        <v>849.53324999999973</v>
      </c>
      <c r="F8" s="117">
        <f>C8*2.4</f>
        <v>153.6</v>
      </c>
      <c r="G8" s="117">
        <f>E8+F8</f>
        <v>1003.1332499999997</v>
      </c>
      <c r="H8" s="110">
        <f>(G8/1000)*8</f>
        <v>8.0250659999999971</v>
      </c>
    </row>
    <row r="9" spans="1:10" x14ac:dyDescent="0.2">
      <c r="B9" s="117"/>
      <c r="C9" s="117"/>
      <c r="D9" s="117"/>
      <c r="E9" s="117"/>
      <c r="F9" s="117"/>
      <c r="G9" s="117"/>
      <c r="H9" s="118"/>
    </row>
    <row r="10" spans="1:10" x14ac:dyDescent="0.2">
      <c r="A10" s="38" t="s">
        <v>0</v>
      </c>
      <c r="B10" s="120">
        <f t="shared" ref="B10:H10" si="1">SUM(B6:B8)</f>
        <v>618.5</v>
      </c>
      <c r="C10" s="120">
        <f t="shared" si="1"/>
        <v>128</v>
      </c>
      <c r="D10" s="120">
        <f t="shared" si="1"/>
        <v>746.5</v>
      </c>
      <c r="E10" s="120">
        <f t="shared" si="1"/>
        <v>1246.5867499999997</v>
      </c>
      <c r="F10" s="120">
        <f t="shared" si="1"/>
        <v>307.2</v>
      </c>
      <c r="G10" s="120">
        <f t="shared" si="1"/>
        <v>1553.7867499999998</v>
      </c>
      <c r="H10" s="109">
        <f t="shared" si="1"/>
        <v>12.430293999999996</v>
      </c>
    </row>
    <row r="11" spans="1:10" x14ac:dyDescent="0.2">
      <c r="B11" s="120"/>
      <c r="C11" s="120"/>
      <c r="D11" s="120"/>
      <c r="E11" s="120"/>
      <c r="F11" s="120"/>
      <c r="G11" s="120"/>
      <c r="H11" s="109"/>
    </row>
    <row r="12" spans="1:10" x14ac:dyDescent="0.2">
      <c r="B12" s="124"/>
      <c r="C12" s="123"/>
      <c r="D12" s="123"/>
      <c r="E12" s="123"/>
      <c r="F12" s="123"/>
      <c r="G12" s="123"/>
      <c r="H12" s="38"/>
    </row>
    <row r="13" spans="1:10" x14ac:dyDescent="0.2">
      <c r="A13" s="38" t="s">
        <v>626</v>
      </c>
      <c r="B13" s="123"/>
      <c r="C13" s="123"/>
      <c r="D13" s="123"/>
      <c r="E13" s="123"/>
      <c r="F13" s="123"/>
      <c r="G13" s="123"/>
    </row>
    <row r="14" spans="1:10" x14ac:dyDescent="0.2">
      <c r="A14" s="26" t="s">
        <v>621</v>
      </c>
      <c r="B14" s="123" t="s">
        <v>628</v>
      </c>
      <c r="C14" s="123" t="s">
        <v>629</v>
      </c>
      <c r="D14" s="123" t="s">
        <v>582</v>
      </c>
      <c r="E14" s="123" t="s">
        <v>630</v>
      </c>
      <c r="F14" s="123" t="s">
        <v>631</v>
      </c>
      <c r="G14" s="123" t="s">
        <v>583</v>
      </c>
      <c r="H14" s="26" t="s">
        <v>637</v>
      </c>
    </row>
    <row r="15" spans="1:10" x14ac:dyDescent="0.2">
      <c r="A15" s="26" t="s">
        <v>622</v>
      </c>
      <c r="B15" s="117">
        <v>50</v>
      </c>
      <c r="C15" s="117">
        <v>0</v>
      </c>
      <c r="D15" s="117">
        <f>B15+C15</f>
        <v>50</v>
      </c>
      <c r="E15" s="117">
        <f>G26</f>
        <v>100.77500000000001</v>
      </c>
      <c r="F15" s="117">
        <f>C15*2.4</f>
        <v>0</v>
      </c>
      <c r="G15" s="117">
        <f>E15+F15</f>
        <v>100.77500000000001</v>
      </c>
      <c r="H15" s="110">
        <f>(G15/1000)*2</f>
        <v>0.20155000000000001</v>
      </c>
    </row>
    <row r="16" spans="1:10" x14ac:dyDescent="0.2">
      <c r="A16" s="26" t="s">
        <v>623</v>
      </c>
      <c r="B16" s="117">
        <v>0</v>
      </c>
      <c r="C16" s="117">
        <v>0</v>
      </c>
      <c r="D16" s="117">
        <f t="shared" ref="D16:D17" si="2">B16+C16</f>
        <v>0</v>
      </c>
      <c r="E16" s="117">
        <f>G43</f>
        <v>0</v>
      </c>
      <c r="F16" s="117">
        <f t="shared" ref="F16:F17" si="3">C16*2.4</f>
        <v>0</v>
      </c>
      <c r="G16" s="117">
        <f>E16+F16</f>
        <v>0</v>
      </c>
      <c r="H16" s="110">
        <f>(G16/1000)*2</f>
        <v>0</v>
      </c>
    </row>
    <row r="17" spans="1:15" x14ac:dyDescent="0.2">
      <c r="A17" s="26" t="s">
        <v>624</v>
      </c>
      <c r="B17" s="117">
        <f>41.75+14.625</f>
        <v>56.375</v>
      </c>
      <c r="C17" s="117">
        <v>0</v>
      </c>
      <c r="D17" s="117">
        <f t="shared" si="2"/>
        <v>56.375</v>
      </c>
      <c r="E17" s="117">
        <f>G60</f>
        <v>113.6238125</v>
      </c>
      <c r="F17" s="117">
        <f t="shared" si="3"/>
        <v>0</v>
      </c>
      <c r="G17" s="117">
        <f>E17+F17</f>
        <v>113.6238125</v>
      </c>
      <c r="H17" s="110">
        <f>(G17/1000)*2</f>
        <v>0.22724762500000001</v>
      </c>
    </row>
    <row r="18" spans="1:15" x14ac:dyDescent="0.2">
      <c r="B18" s="123"/>
      <c r="C18" s="117"/>
      <c r="D18" s="117"/>
      <c r="E18" s="117"/>
      <c r="F18" s="117"/>
      <c r="G18" s="117"/>
      <c r="H18" s="118"/>
    </row>
    <row r="19" spans="1:15" x14ac:dyDescent="0.2">
      <c r="A19" s="38" t="s">
        <v>0</v>
      </c>
      <c r="B19" s="120">
        <f>SUM(B15:B17)</f>
        <v>106.375</v>
      </c>
      <c r="C19" s="120">
        <f>SUM(C15:C17)</f>
        <v>0</v>
      </c>
      <c r="D19" s="120">
        <f t="shared" ref="D19" si="4">SUM(D15:D17)</f>
        <v>106.375</v>
      </c>
      <c r="E19" s="120">
        <f>SUM(E15:E17)</f>
        <v>214.39881250000002</v>
      </c>
      <c r="F19" s="120">
        <f>SUM(F15:F17)</f>
        <v>0</v>
      </c>
      <c r="G19" s="120">
        <f>SUM(G15:G17)</f>
        <v>214.39881250000002</v>
      </c>
      <c r="H19" s="109">
        <f>SUM(H15:H17)</f>
        <v>0.42879762500000002</v>
      </c>
    </row>
    <row r="20" spans="1:15" x14ac:dyDescent="0.2">
      <c r="B20" s="123"/>
      <c r="C20" s="123"/>
      <c r="D20" s="123"/>
      <c r="E20" s="123"/>
      <c r="F20" s="123"/>
      <c r="G20" s="123"/>
    </row>
    <row r="21" spans="1:15" x14ac:dyDescent="0.2">
      <c r="A21" s="26" t="s">
        <v>627</v>
      </c>
      <c r="B21" s="123"/>
      <c r="C21" s="123"/>
      <c r="D21" s="123"/>
      <c r="E21" s="123"/>
      <c r="F21" s="123"/>
      <c r="G21" s="123"/>
    </row>
    <row r="22" spans="1:15" x14ac:dyDescent="0.2">
      <c r="A22" s="26" t="s">
        <v>606</v>
      </c>
      <c r="B22" s="123"/>
      <c r="C22" s="123"/>
      <c r="D22" s="123"/>
      <c r="E22" s="123" t="s">
        <v>607</v>
      </c>
      <c r="F22" s="123"/>
      <c r="G22" s="123"/>
      <c r="I22" s="123"/>
      <c r="J22" s="123"/>
      <c r="K22" s="123"/>
    </row>
    <row r="23" spans="1:15" x14ac:dyDescent="0.2">
      <c r="A23" s="26" t="s">
        <v>622</v>
      </c>
      <c r="B23" s="117" t="s">
        <v>580</v>
      </c>
      <c r="C23" s="117" t="s">
        <v>632</v>
      </c>
      <c r="D23" s="123"/>
      <c r="E23" s="123" t="s">
        <v>622</v>
      </c>
      <c r="F23" s="117" t="s">
        <v>580</v>
      </c>
      <c r="G23" s="117" t="s">
        <v>632</v>
      </c>
      <c r="I23" s="123"/>
      <c r="J23" s="117"/>
      <c r="K23" s="117"/>
      <c r="N23" s="55"/>
      <c r="O23" s="55"/>
    </row>
    <row r="24" spans="1:15" x14ac:dyDescent="0.2">
      <c r="A24" s="26" t="s">
        <v>592</v>
      </c>
      <c r="B24" s="117">
        <f>B6*0.7</f>
        <v>38.5</v>
      </c>
      <c r="C24" s="117">
        <f>SUM(C29:C32)</f>
        <v>74.305000000000007</v>
      </c>
      <c r="D24" s="123"/>
      <c r="E24" s="123" t="s">
        <v>592</v>
      </c>
      <c r="F24" s="117">
        <f>B15*0.7</f>
        <v>35</v>
      </c>
      <c r="G24" s="117">
        <f>SUM(G29:G32)</f>
        <v>67.55</v>
      </c>
      <c r="I24" s="123"/>
      <c r="J24" s="117"/>
      <c r="K24" s="117"/>
      <c r="N24" s="77"/>
      <c r="O24" s="77"/>
    </row>
    <row r="25" spans="1:15" x14ac:dyDescent="0.2">
      <c r="A25" s="56" t="s">
        <v>597</v>
      </c>
      <c r="B25" s="117">
        <f>B6*0.3</f>
        <v>16.5</v>
      </c>
      <c r="C25" s="117">
        <f>SUM(C35:C38)</f>
        <v>36.547499999999999</v>
      </c>
      <c r="D25" s="123"/>
      <c r="E25" s="122" t="s">
        <v>597</v>
      </c>
      <c r="F25" s="117">
        <f>B15*0.3</f>
        <v>15</v>
      </c>
      <c r="G25" s="117">
        <f>SUM(G35:G38)</f>
        <v>33.225000000000001</v>
      </c>
      <c r="I25" s="122"/>
      <c r="J25" s="117"/>
      <c r="K25" s="117"/>
      <c r="M25" s="56"/>
      <c r="N25" s="77"/>
      <c r="O25" s="77"/>
    </row>
    <row r="26" spans="1:15" x14ac:dyDescent="0.2">
      <c r="A26" s="56" t="s">
        <v>0</v>
      </c>
      <c r="B26" s="117">
        <f>SUM(B24:B25)</f>
        <v>55</v>
      </c>
      <c r="C26" s="117">
        <f>SUM(C24:C25)</f>
        <v>110.85250000000001</v>
      </c>
      <c r="D26" s="123"/>
      <c r="E26" s="122" t="s">
        <v>0</v>
      </c>
      <c r="F26" s="117">
        <f>SUM(F24:F25)</f>
        <v>50</v>
      </c>
      <c r="G26" s="117">
        <f>SUM(G24:G25)</f>
        <v>100.77500000000001</v>
      </c>
      <c r="I26" s="122"/>
      <c r="J26" s="117"/>
      <c r="K26" s="117"/>
      <c r="M26" s="56"/>
      <c r="N26" s="77"/>
      <c r="O26" s="77"/>
    </row>
    <row r="27" spans="1:15" x14ac:dyDescent="0.2">
      <c r="A27" s="56"/>
      <c r="B27" s="117"/>
      <c r="C27" s="117"/>
      <c r="D27" s="123"/>
      <c r="E27" s="122"/>
      <c r="F27" s="117"/>
      <c r="G27" s="117"/>
      <c r="I27" s="122"/>
      <c r="J27" s="117"/>
      <c r="K27" s="117"/>
      <c r="M27" s="56"/>
      <c r="N27" s="98"/>
      <c r="O27" s="55"/>
    </row>
    <row r="28" spans="1:15" x14ac:dyDescent="0.2">
      <c r="A28" s="26" t="s">
        <v>592</v>
      </c>
      <c r="B28" s="117" t="s">
        <v>580</v>
      </c>
      <c r="C28" s="117" t="s">
        <v>632</v>
      </c>
      <c r="D28" s="123"/>
      <c r="E28" s="123" t="s">
        <v>592</v>
      </c>
      <c r="F28" s="117" t="s">
        <v>580</v>
      </c>
      <c r="G28" s="117" t="s">
        <v>632</v>
      </c>
      <c r="I28" s="123"/>
      <c r="J28" s="117"/>
      <c r="K28" s="117"/>
      <c r="N28" s="55"/>
      <c r="O28" s="55"/>
    </row>
    <row r="29" spans="1:15" x14ac:dyDescent="0.2">
      <c r="A29" s="26" t="s">
        <v>593</v>
      </c>
      <c r="B29" s="117">
        <f>B24*0.2</f>
        <v>7.7</v>
      </c>
      <c r="C29" s="117">
        <f>B29*1.31</f>
        <v>10.087000000000002</v>
      </c>
      <c r="D29" s="123"/>
      <c r="E29" s="123" t="s">
        <v>593</v>
      </c>
      <c r="F29" s="117">
        <f>F24*0.2</f>
        <v>7</v>
      </c>
      <c r="G29" s="117">
        <f>F29*1.31</f>
        <v>9.17</v>
      </c>
      <c r="I29" s="123"/>
      <c r="J29" s="117"/>
      <c r="K29" s="117"/>
      <c r="N29" s="77"/>
      <c r="O29" s="77"/>
    </row>
    <row r="30" spans="1:15" x14ac:dyDescent="0.2">
      <c r="A30" s="26" t="s">
        <v>594</v>
      </c>
      <c r="B30" s="117">
        <f>B24*0.5</f>
        <v>19.25</v>
      </c>
      <c r="C30" s="117">
        <f>B30*1.76</f>
        <v>33.880000000000003</v>
      </c>
      <c r="D30" s="123"/>
      <c r="E30" s="123" t="s">
        <v>594</v>
      </c>
      <c r="F30" s="117">
        <f>F24*0.5</f>
        <v>17.5</v>
      </c>
      <c r="G30" s="117">
        <f>F30*1.76</f>
        <v>30.8</v>
      </c>
      <c r="I30" s="123"/>
      <c r="J30" s="117"/>
      <c r="K30" s="117"/>
      <c r="N30" s="77"/>
      <c r="O30" s="77"/>
    </row>
    <row r="31" spans="1:15" x14ac:dyDescent="0.2">
      <c r="A31" s="26" t="s">
        <v>595</v>
      </c>
      <c r="B31" s="117">
        <f>B24*0.2</f>
        <v>7.7</v>
      </c>
      <c r="C31" s="117">
        <f>B31*2.51</f>
        <v>19.326999999999998</v>
      </c>
      <c r="D31" s="123"/>
      <c r="E31" s="123" t="s">
        <v>595</v>
      </c>
      <c r="F31" s="117">
        <f>F24*0.2</f>
        <v>7</v>
      </c>
      <c r="G31" s="117">
        <f>F31*2.51</f>
        <v>17.57</v>
      </c>
      <c r="I31" s="123"/>
      <c r="J31" s="117"/>
      <c r="K31" s="117"/>
      <c r="N31" s="77"/>
      <c r="O31" s="77"/>
    </row>
    <row r="32" spans="1:15" x14ac:dyDescent="0.2">
      <c r="A32" s="26" t="s">
        <v>596</v>
      </c>
      <c r="B32" s="117">
        <f>B24*0.1</f>
        <v>3.85</v>
      </c>
      <c r="C32" s="117">
        <f>B32*2.86</f>
        <v>11.010999999999999</v>
      </c>
      <c r="D32" s="123"/>
      <c r="E32" s="123" t="s">
        <v>596</v>
      </c>
      <c r="F32" s="117">
        <f>F24*0.1</f>
        <v>3.5</v>
      </c>
      <c r="G32" s="117">
        <f>F32*2.86</f>
        <v>10.01</v>
      </c>
      <c r="I32" s="123"/>
      <c r="J32" s="117"/>
      <c r="K32" s="117"/>
      <c r="N32" s="77"/>
      <c r="O32" s="77"/>
    </row>
    <row r="33" spans="1:15" x14ac:dyDescent="0.2">
      <c r="B33" s="117"/>
      <c r="C33" s="117"/>
      <c r="D33" s="123"/>
      <c r="E33" s="123"/>
      <c r="F33" s="117"/>
      <c r="G33" s="117"/>
      <c r="I33" s="123"/>
      <c r="J33" s="117"/>
      <c r="K33" s="117"/>
      <c r="N33" s="55"/>
      <c r="O33" s="55"/>
    </row>
    <row r="34" spans="1:15" x14ac:dyDescent="0.2">
      <c r="A34" s="56" t="s">
        <v>597</v>
      </c>
      <c r="B34" s="117" t="s">
        <v>580</v>
      </c>
      <c r="C34" s="117" t="s">
        <v>632</v>
      </c>
      <c r="D34" s="123"/>
      <c r="E34" s="122" t="s">
        <v>597</v>
      </c>
      <c r="F34" s="117" t="s">
        <v>580</v>
      </c>
      <c r="G34" s="117" t="s">
        <v>632</v>
      </c>
      <c r="I34" s="122"/>
      <c r="J34" s="117"/>
      <c r="K34" s="117"/>
      <c r="M34" s="56"/>
      <c r="N34" s="55"/>
      <c r="O34" s="55"/>
    </row>
    <row r="35" spans="1:15" x14ac:dyDescent="0.2">
      <c r="A35" s="26" t="s">
        <v>593</v>
      </c>
      <c r="B35" s="117">
        <f>B25*0.15</f>
        <v>2.4750000000000001</v>
      </c>
      <c r="C35" s="117">
        <f>B35*1.31</f>
        <v>3.2422500000000003</v>
      </c>
      <c r="D35" s="123"/>
      <c r="E35" s="123" t="s">
        <v>593</v>
      </c>
      <c r="F35" s="117">
        <f>F25*0.15</f>
        <v>2.25</v>
      </c>
      <c r="G35" s="117">
        <f>F35*1.31</f>
        <v>2.9475000000000002</v>
      </c>
      <c r="I35" s="123"/>
      <c r="J35" s="117"/>
      <c r="K35" s="117"/>
      <c r="N35" s="77"/>
      <c r="O35" s="77"/>
    </row>
    <row r="36" spans="1:15" x14ac:dyDescent="0.2">
      <c r="A36" s="26" t="s">
        <v>594</v>
      </c>
      <c r="B36" s="117">
        <f>B25*0.34</f>
        <v>5.61</v>
      </c>
      <c r="C36" s="117">
        <f>B36*1.76</f>
        <v>9.8736000000000015</v>
      </c>
      <c r="D36" s="123"/>
      <c r="E36" s="123" t="s">
        <v>594</v>
      </c>
      <c r="F36" s="117">
        <f>F25*0.34</f>
        <v>5.1000000000000005</v>
      </c>
      <c r="G36" s="117">
        <f>F36*1.76</f>
        <v>8.9760000000000009</v>
      </c>
      <c r="I36" s="123"/>
      <c r="J36" s="117"/>
      <c r="K36" s="117"/>
      <c r="N36" s="77"/>
      <c r="O36" s="77"/>
    </row>
    <row r="37" spans="1:15" x14ac:dyDescent="0.2">
      <c r="A37" s="26" t="s">
        <v>595</v>
      </c>
      <c r="B37" s="117">
        <f>B25*0.11</f>
        <v>1.8149999999999999</v>
      </c>
      <c r="C37" s="117">
        <f>B37*2.51</f>
        <v>4.5556499999999991</v>
      </c>
      <c r="D37" s="123"/>
      <c r="E37" s="123" t="s">
        <v>595</v>
      </c>
      <c r="F37" s="117">
        <f>F25*0.11</f>
        <v>1.65</v>
      </c>
      <c r="G37" s="117">
        <f>F37*2.51</f>
        <v>4.1414999999999997</v>
      </c>
      <c r="I37" s="123"/>
      <c r="J37" s="117"/>
      <c r="K37" s="117"/>
      <c r="N37" s="77"/>
      <c r="O37" s="77"/>
    </row>
    <row r="38" spans="1:15" x14ac:dyDescent="0.2">
      <c r="A38" s="26" t="s">
        <v>596</v>
      </c>
      <c r="B38" s="117">
        <f>B25*0.4</f>
        <v>6.6000000000000005</v>
      </c>
      <c r="C38" s="117">
        <f>B38*2.86</f>
        <v>18.876000000000001</v>
      </c>
      <c r="D38" s="123"/>
      <c r="E38" s="123" t="s">
        <v>596</v>
      </c>
      <c r="F38" s="117">
        <f>F25*0.4</f>
        <v>6</v>
      </c>
      <c r="G38" s="117">
        <f>F38*2.86</f>
        <v>17.16</v>
      </c>
      <c r="I38" s="123"/>
      <c r="J38" s="117"/>
      <c r="K38" s="117"/>
      <c r="N38" s="77"/>
      <c r="O38" s="77"/>
    </row>
    <row r="39" spans="1:15" x14ac:dyDescent="0.2">
      <c r="B39" s="117"/>
      <c r="C39" s="117"/>
      <c r="D39" s="123"/>
      <c r="E39" s="123"/>
      <c r="F39" s="117"/>
      <c r="G39" s="117"/>
      <c r="I39" s="123"/>
      <c r="J39" s="117"/>
      <c r="K39" s="117"/>
      <c r="N39" s="55"/>
      <c r="O39" s="55"/>
    </row>
    <row r="40" spans="1:15" x14ac:dyDescent="0.2">
      <c r="A40" s="26" t="s">
        <v>623</v>
      </c>
      <c r="B40" s="117" t="s">
        <v>580</v>
      </c>
      <c r="C40" s="117" t="s">
        <v>632</v>
      </c>
      <c r="D40" s="123"/>
      <c r="E40" s="123" t="s">
        <v>623</v>
      </c>
      <c r="F40" s="117" t="s">
        <v>580</v>
      </c>
      <c r="G40" s="117" t="s">
        <v>632</v>
      </c>
      <c r="I40" s="123"/>
      <c r="J40" s="117"/>
      <c r="K40" s="117"/>
      <c r="N40" s="55"/>
      <c r="O40" s="55"/>
    </row>
    <row r="41" spans="1:15" x14ac:dyDescent="0.2">
      <c r="A41" s="26" t="s">
        <v>592</v>
      </c>
      <c r="B41" s="117">
        <f>B7*0.7</f>
        <v>99.399999999999991</v>
      </c>
      <c r="C41" s="117">
        <f>SUM(C46:C49)</f>
        <v>191.84199999999998</v>
      </c>
      <c r="D41" s="123"/>
      <c r="E41" s="123" t="s">
        <v>592</v>
      </c>
      <c r="F41" s="117">
        <f>B16*0.7</f>
        <v>0</v>
      </c>
      <c r="G41" s="117">
        <f>SUM(G46:G49)</f>
        <v>0</v>
      </c>
      <c r="I41" s="123"/>
      <c r="J41" s="117"/>
      <c r="K41" s="117"/>
      <c r="N41" s="77"/>
      <c r="O41" s="77"/>
    </row>
    <row r="42" spans="1:15" x14ac:dyDescent="0.2">
      <c r="A42" s="56" t="s">
        <v>597</v>
      </c>
      <c r="B42" s="117">
        <f>B7*0.3</f>
        <v>42.6</v>
      </c>
      <c r="C42" s="117">
        <f>SUM(C52:C55)</f>
        <v>94.359000000000009</v>
      </c>
      <c r="D42" s="123"/>
      <c r="E42" s="122" t="s">
        <v>597</v>
      </c>
      <c r="F42" s="117">
        <f>B16*0.3</f>
        <v>0</v>
      </c>
      <c r="G42" s="117">
        <f>SUM(G52:G55)</f>
        <v>0</v>
      </c>
      <c r="I42" s="122"/>
      <c r="J42" s="117"/>
      <c r="K42" s="117"/>
      <c r="M42" s="56"/>
      <c r="N42" s="77"/>
      <c r="O42" s="77"/>
    </row>
    <row r="43" spans="1:15" x14ac:dyDescent="0.2">
      <c r="A43" s="56" t="s">
        <v>0</v>
      </c>
      <c r="B43" s="117">
        <f>SUM(B41:B42)</f>
        <v>142</v>
      </c>
      <c r="C43" s="117">
        <f>SUM(C41:C42)</f>
        <v>286.20100000000002</v>
      </c>
      <c r="D43" s="123"/>
      <c r="E43" s="122" t="s">
        <v>0</v>
      </c>
      <c r="F43" s="117">
        <f>SUM(F41:F42)</f>
        <v>0</v>
      </c>
      <c r="G43" s="117">
        <f>SUM(G41:G42)</f>
        <v>0</v>
      </c>
      <c r="I43" s="122"/>
      <c r="J43" s="117"/>
      <c r="K43" s="117"/>
      <c r="M43" s="56"/>
      <c r="N43" s="77"/>
      <c r="O43" s="77"/>
    </row>
    <row r="44" spans="1:15" x14ac:dyDescent="0.2">
      <c r="A44" s="56"/>
      <c r="B44" s="117"/>
      <c r="C44" s="117"/>
      <c r="D44" s="123"/>
      <c r="E44" s="122"/>
      <c r="F44" s="117"/>
      <c r="G44" s="117"/>
      <c r="I44" s="122"/>
      <c r="J44" s="117"/>
      <c r="K44" s="117"/>
      <c r="M44" s="56"/>
      <c r="N44" s="98"/>
      <c r="O44" s="55"/>
    </row>
    <row r="45" spans="1:15" x14ac:dyDescent="0.2">
      <c r="A45" s="26" t="s">
        <v>592</v>
      </c>
      <c r="B45" s="117" t="s">
        <v>580</v>
      </c>
      <c r="C45" s="117" t="s">
        <v>632</v>
      </c>
      <c r="D45" s="123"/>
      <c r="E45" s="123" t="s">
        <v>592</v>
      </c>
      <c r="F45" s="117" t="s">
        <v>580</v>
      </c>
      <c r="G45" s="117" t="s">
        <v>632</v>
      </c>
      <c r="I45" s="123"/>
      <c r="J45" s="117"/>
      <c r="K45" s="117"/>
      <c r="N45" s="55"/>
      <c r="O45" s="55"/>
    </row>
    <row r="46" spans="1:15" x14ac:dyDescent="0.2">
      <c r="A46" s="26" t="s">
        <v>593</v>
      </c>
      <c r="B46" s="117">
        <f>B41*0.2</f>
        <v>19.88</v>
      </c>
      <c r="C46" s="117">
        <f>B46*1.31</f>
        <v>26.0428</v>
      </c>
      <c r="D46" s="123"/>
      <c r="E46" s="123" t="s">
        <v>593</v>
      </c>
      <c r="F46" s="117">
        <f>F41*0.2</f>
        <v>0</v>
      </c>
      <c r="G46" s="117">
        <f>F46*1.31</f>
        <v>0</v>
      </c>
      <c r="I46" s="123"/>
      <c r="J46" s="117"/>
      <c r="K46" s="117"/>
      <c r="N46" s="77"/>
      <c r="O46" s="77"/>
    </row>
    <row r="47" spans="1:15" x14ac:dyDescent="0.2">
      <c r="A47" s="26" t="s">
        <v>594</v>
      </c>
      <c r="B47" s="117">
        <f>B41*0.5</f>
        <v>49.699999999999996</v>
      </c>
      <c r="C47" s="117">
        <f>B47*1.76</f>
        <v>87.471999999999994</v>
      </c>
      <c r="D47" s="123"/>
      <c r="E47" s="123" t="s">
        <v>594</v>
      </c>
      <c r="F47" s="117">
        <f>F41*0.5</f>
        <v>0</v>
      </c>
      <c r="G47" s="117">
        <f>F47*1.76</f>
        <v>0</v>
      </c>
      <c r="I47" s="123"/>
      <c r="J47" s="117"/>
      <c r="K47" s="117"/>
      <c r="N47" s="77"/>
      <c r="O47" s="77"/>
    </row>
    <row r="48" spans="1:15" x14ac:dyDescent="0.2">
      <c r="A48" s="26" t="s">
        <v>595</v>
      </c>
      <c r="B48" s="117">
        <f>B41*0.2</f>
        <v>19.88</v>
      </c>
      <c r="C48" s="117">
        <f>B48*2.51</f>
        <v>49.898799999999994</v>
      </c>
      <c r="D48" s="123"/>
      <c r="E48" s="123" t="s">
        <v>595</v>
      </c>
      <c r="F48" s="117">
        <f>F41*0.2</f>
        <v>0</v>
      </c>
      <c r="G48" s="117">
        <f>F48*2.51</f>
        <v>0</v>
      </c>
      <c r="I48" s="123"/>
      <c r="J48" s="117"/>
      <c r="K48" s="117"/>
      <c r="N48" s="77"/>
      <c r="O48" s="77"/>
    </row>
    <row r="49" spans="1:15" x14ac:dyDescent="0.2">
      <c r="A49" s="26" t="s">
        <v>596</v>
      </c>
      <c r="B49" s="117">
        <f>B41*0.1</f>
        <v>9.94</v>
      </c>
      <c r="C49" s="117">
        <f>B49*2.86</f>
        <v>28.428399999999996</v>
      </c>
      <c r="D49" s="123"/>
      <c r="E49" s="123" t="s">
        <v>596</v>
      </c>
      <c r="F49" s="117">
        <f>F41*0.1</f>
        <v>0</v>
      </c>
      <c r="G49" s="117">
        <f>F49*2.86</f>
        <v>0</v>
      </c>
      <c r="I49" s="123"/>
      <c r="J49" s="117"/>
      <c r="K49" s="117"/>
      <c r="N49" s="77"/>
      <c r="O49" s="77"/>
    </row>
    <row r="50" spans="1:15" x14ac:dyDescent="0.2">
      <c r="B50" s="117"/>
      <c r="C50" s="117"/>
      <c r="D50" s="123"/>
      <c r="E50" s="123"/>
      <c r="F50" s="117"/>
      <c r="G50" s="117"/>
      <c r="I50" s="123"/>
      <c r="J50" s="117"/>
      <c r="K50" s="117"/>
      <c r="N50" s="55"/>
      <c r="O50" s="55"/>
    </row>
    <row r="51" spans="1:15" x14ac:dyDescent="0.2">
      <c r="A51" s="56" t="s">
        <v>597</v>
      </c>
      <c r="B51" s="117" t="s">
        <v>580</v>
      </c>
      <c r="C51" s="117" t="s">
        <v>632</v>
      </c>
      <c r="D51" s="123"/>
      <c r="E51" s="122" t="s">
        <v>597</v>
      </c>
      <c r="F51" s="117" t="s">
        <v>580</v>
      </c>
      <c r="G51" s="117" t="s">
        <v>632</v>
      </c>
      <c r="I51" s="122"/>
      <c r="J51" s="117"/>
      <c r="K51" s="117"/>
      <c r="M51" s="56"/>
      <c r="N51" s="55"/>
      <c r="O51" s="55"/>
    </row>
    <row r="52" spans="1:15" x14ac:dyDescent="0.2">
      <c r="A52" s="26" t="s">
        <v>593</v>
      </c>
      <c r="B52" s="117">
        <f>B42*0.15</f>
        <v>6.39</v>
      </c>
      <c r="C52" s="117">
        <f>B52*1.31</f>
        <v>8.3709000000000007</v>
      </c>
      <c r="D52" s="123"/>
      <c r="E52" s="123" t="s">
        <v>593</v>
      </c>
      <c r="F52" s="117">
        <f>F42*0.15</f>
        <v>0</v>
      </c>
      <c r="G52" s="117">
        <f>F52*1.31</f>
        <v>0</v>
      </c>
      <c r="I52" s="123"/>
      <c r="J52" s="117"/>
      <c r="K52" s="117"/>
      <c r="N52" s="77"/>
      <c r="O52" s="77"/>
    </row>
    <row r="53" spans="1:15" x14ac:dyDescent="0.2">
      <c r="A53" s="26" t="s">
        <v>594</v>
      </c>
      <c r="B53" s="117">
        <f>B42*0.34</f>
        <v>14.484000000000002</v>
      </c>
      <c r="C53" s="117">
        <f>B53*1.76</f>
        <v>25.491840000000003</v>
      </c>
      <c r="D53" s="123"/>
      <c r="E53" s="123" t="s">
        <v>594</v>
      </c>
      <c r="F53" s="117">
        <f>F42*0.34</f>
        <v>0</v>
      </c>
      <c r="G53" s="117">
        <f>F53*1.76</f>
        <v>0</v>
      </c>
      <c r="I53" s="123"/>
      <c r="J53" s="117"/>
      <c r="K53" s="117"/>
      <c r="N53" s="77"/>
      <c r="O53" s="77"/>
    </row>
    <row r="54" spans="1:15" x14ac:dyDescent="0.2">
      <c r="A54" s="26" t="s">
        <v>595</v>
      </c>
      <c r="B54" s="117">
        <f>B42*0.11</f>
        <v>4.6859999999999999</v>
      </c>
      <c r="C54" s="117">
        <f>B54*2.51</f>
        <v>11.761859999999999</v>
      </c>
      <c r="D54" s="123"/>
      <c r="E54" s="123" t="s">
        <v>595</v>
      </c>
      <c r="F54" s="117">
        <f>F42*0.11</f>
        <v>0</v>
      </c>
      <c r="G54" s="117">
        <f>F54*2.51</f>
        <v>0</v>
      </c>
      <c r="I54" s="123"/>
      <c r="J54" s="117"/>
      <c r="K54" s="117"/>
      <c r="N54" s="77"/>
      <c r="O54" s="77"/>
    </row>
    <row r="55" spans="1:15" x14ac:dyDescent="0.2">
      <c r="A55" s="26" t="s">
        <v>596</v>
      </c>
      <c r="B55" s="117">
        <f>B42*0.4</f>
        <v>17.040000000000003</v>
      </c>
      <c r="C55" s="117">
        <f>B55*2.86</f>
        <v>48.734400000000008</v>
      </c>
      <c r="D55" s="123"/>
      <c r="E55" s="123" t="s">
        <v>596</v>
      </c>
      <c r="F55" s="117">
        <f>F42*0.4</f>
        <v>0</v>
      </c>
      <c r="G55" s="117">
        <f>F55*2.86</f>
        <v>0</v>
      </c>
      <c r="I55" s="123"/>
      <c r="J55" s="117"/>
      <c r="K55" s="117"/>
      <c r="N55" s="77"/>
      <c r="O55" s="77"/>
    </row>
    <row r="56" spans="1:15" x14ac:dyDescent="0.2">
      <c r="B56" s="117"/>
      <c r="C56" s="117"/>
      <c r="D56" s="123"/>
      <c r="E56" s="123"/>
      <c r="F56" s="117"/>
      <c r="G56" s="117"/>
      <c r="I56" s="123"/>
      <c r="J56" s="117"/>
      <c r="K56" s="117"/>
      <c r="N56" s="55"/>
      <c r="O56" s="55"/>
    </row>
    <row r="57" spans="1:15" x14ac:dyDescent="0.2">
      <c r="A57" s="26" t="s">
        <v>624</v>
      </c>
      <c r="B57" s="117" t="s">
        <v>580</v>
      </c>
      <c r="C57" s="117" t="s">
        <v>632</v>
      </c>
      <c r="D57" s="123"/>
      <c r="E57" s="123" t="s">
        <v>624</v>
      </c>
      <c r="F57" s="117" t="s">
        <v>580</v>
      </c>
      <c r="G57" s="117" t="s">
        <v>632</v>
      </c>
      <c r="I57" s="123"/>
      <c r="J57" s="117"/>
      <c r="K57" s="117"/>
      <c r="N57" s="55"/>
      <c r="O57" s="55"/>
    </row>
    <row r="58" spans="1:15" x14ac:dyDescent="0.2">
      <c r="A58" s="26" t="s">
        <v>592</v>
      </c>
      <c r="B58" s="117">
        <f>B8*0.7</f>
        <v>295.04999999999995</v>
      </c>
      <c r="C58" s="117">
        <f>SUM(C63:C66)</f>
        <v>569.44649999999979</v>
      </c>
      <c r="D58" s="123"/>
      <c r="E58" s="123" t="s">
        <v>592</v>
      </c>
      <c r="F58" s="117">
        <f>B17*0.7</f>
        <v>39.462499999999999</v>
      </c>
      <c r="G58" s="117">
        <f>SUM(G63:G66)</f>
        <v>76.162625000000006</v>
      </c>
      <c r="I58" s="123"/>
      <c r="J58" s="117"/>
      <c r="K58" s="117"/>
      <c r="N58" s="77"/>
      <c r="O58" s="77"/>
    </row>
    <row r="59" spans="1:15" x14ac:dyDescent="0.2">
      <c r="A59" s="56" t="s">
        <v>597</v>
      </c>
      <c r="B59" s="117">
        <f>B8*0.3</f>
        <v>126.44999999999999</v>
      </c>
      <c r="C59" s="117">
        <f>SUM(C69:C72)</f>
        <v>280.08674999999999</v>
      </c>
      <c r="D59" s="123"/>
      <c r="E59" s="122" t="s">
        <v>597</v>
      </c>
      <c r="F59" s="117">
        <f>B17*0.3</f>
        <v>16.912499999999998</v>
      </c>
      <c r="G59" s="117">
        <f>SUM(G69:G72)</f>
        <v>37.461187499999994</v>
      </c>
      <c r="I59" s="122"/>
      <c r="J59" s="117"/>
      <c r="K59" s="117"/>
      <c r="M59" s="56"/>
      <c r="N59" s="77"/>
      <c r="O59" s="77"/>
    </row>
    <row r="60" spans="1:15" x14ac:dyDescent="0.2">
      <c r="A60" s="56" t="s">
        <v>0</v>
      </c>
      <c r="B60" s="117">
        <f>SUM(B58:B59)</f>
        <v>421.49999999999994</v>
      </c>
      <c r="C60" s="117">
        <f>SUM(C58:C59)</f>
        <v>849.53324999999973</v>
      </c>
      <c r="D60" s="123"/>
      <c r="E60" s="122" t="s">
        <v>0</v>
      </c>
      <c r="F60" s="117">
        <f>SUM(F58:F59)</f>
        <v>56.375</v>
      </c>
      <c r="G60" s="117">
        <f>SUM(G58:G59)</f>
        <v>113.6238125</v>
      </c>
      <c r="I60" s="122"/>
      <c r="J60" s="117"/>
      <c r="K60" s="117"/>
      <c r="M60" s="56"/>
      <c r="N60" s="77"/>
      <c r="O60" s="77"/>
    </row>
    <row r="61" spans="1:15" x14ac:dyDescent="0.2">
      <c r="A61" s="56"/>
      <c r="B61" s="117"/>
      <c r="C61" s="117"/>
      <c r="D61" s="123"/>
      <c r="E61" s="122"/>
      <c r="F61" s="117"/>
      <c r="G61" s="117"/>
      <c r="I61" s="122"/>
      <c r="J61" s="117"/>
      <c r="K61" s="117"/>
      <c r="M61" s="56"/>
      <c r="N61" s="98"/>
      <c r="O61" s="55"/>
    </row>
    <row r="62" spans="1:15" x14ac:dyDescent="0.2">
      <c r="A62" s="26" t="s">
        <v>592</v>
      </c>
      <c r="B62" s="117" t="s">
        <v>580</v>
      </c>
      <c r="C62" s="117" t="s">
        <v>632</v>
      </c>
      <c r="D62" s="123"/>
      <c r="E62" s="123" t="s">
        <v>592</v>
      </c>
      <c r="F62" s="117" t="s">
        <v>580</v>
      </c>
      <c r="G62" s="117" t="s">
        <v>632</v>
      </c>
      <c r="I62" s="123"/>
      <c r="J62" s="117"/>
      <c r="K62" s="117"/>
      <c r="N62" s="55"/>
      <c r="O62" s="55"/>
    </row>
    <row r="63" spans="1:15" x14ac:dyDescent="0.2">
      <c r="A63" s="26" t="s">
        <v>593</v>
      </c>
      <c r="B63" s="117">
        <f>B58*0.2</f>
        <v>59.009999999999991</v>
      </c>
      <c r="C63" s="117">
        <f>B63*1.31</f>
        <v>77.303099999999986</v>
      </c>
      <c r="D63" s="123"/>
      <c r="E63" s="123" t="s">
        <v>593</v>
      </c>
      <c r="F63" s="117">
        <f>F58*0.2</f>
        <v>7.8925000000000001</v>
      </c>
      <c r="G63" s="117">
        <f>F63*1.31</f>
        <v>10.339175000000001</v>
      </c>
      <c r="I63" s="123"/>
      <c r="J63" s="117"/>
      <c r="K63" s="117"/>
      <c r="N63" s="77"/>
      <c r="O63" s="77"/>
    </row>
    <row r="64" spans="1:15" x14ac:dyDescent="0.2">
      <c r="A64" s="26" t="s">
        <v>594</v>
      </c>
      <c r="B64" s="117">
        <f>B58*0.5</f>
        <v>147.52499999999998</v>
      </c>
      <c r="C64" s="117">
        <f>B64*1.76</f>
        <v>259.64399999999995</v>
      </c>
      <c r="D64" s="123"/>
      <c r="E64" s="123" t="s">
        <v>594</v>
      </c>
      <c r="F64" s="117">
        <f>F58*0.5</f>
        <v>19.731249999999999</v>
      </c>
      <c r="G64" s="117">
        <f>F64*1.76</f>
        <v>34.726999999999997</v>
      </c>
      <c r="I64" s="123"/>
      <c r="J64" s="117"/>
      <c r="K64" s="117"/>
      <c r="N64" s="77"/>
      <c r="O64" s="77"/>
    </row>
    <row r="65" spans="1:15" x14ac:dyDescent="0.2">
      <c r="A65" s="26" t="s">
        <v>595</v>
      </c>
      <c r="B65" s="117">
        <f>B58*0.2</f>
        <v>59.009999999999991</v>
      </c>
      <c r="C65" s="117">
        <f>B65*2.51</f>
        <v>148.11509999999996</v>
      </c>
      <c r="D65" s="123"/>
      <c r="E65" s="123" t="s">
        <v>595</v>
      </c>
      <c r="F65" s="117">
        <f>F58*0.2</f>
        <v>7.8925000000000001</v>
      </c>
      <c r="G65" s="117">
        <f>F65*2.51</f>
        <v>19.810174999999997</v>
      </c>
      <c r="I65" s="123"/>
      <c r="J65" s="117"/>
      <c r="K65" s="117"/>
      <c r="N65" s="77"/>
      <c r="O65" s="77"/>
    </row>
    <row r="66" spans="1:15" x14ac:dyDescent="0.2">
      <c r="A66" s="26" t="s">
        <v>596</v>
      </c>
      <c r="B66" s="117">
        <f>B58*0.1</f>
        <v>29.504999999999995</v>
      </c>
      <c r="C66" s="117">
        <f>B66*2.86</f>
        <v>84.384299999999982</v>
      </c>
      <c r="D66" s="123"/>
      <c r="E66" s="123" t="s">
        <v>596</v>
      </c>
      <c r="F66" s="117">
        <f>F58*0.1</f>
        <v>3.94625</v>
      </c>
      <c r="G66" s="117">
        <f>F66*2.86</f>
        <v>11.286275</v>
      </c>
      <c r="I66" s="123"/>
      <c r="J66" s="117"/>
      <c r="K66" s="117"/>
      <c r="N66" s="77"/>
      <c r="O66" s="77"/>
    </row>
    <row r="67" spans="1:15" x14ac:dyDescent="0.2">
      <c r="B67" s="117"/>
      <c r="C67" s="117"/>
      <c r="D67" s="123"/>
      <c r="E67" s="123"/>
      <c r="F67" s="117"/>
      <c r="G67" s="117"/>
      <c r="I67" s="123"/>
      <c r="J67" s="117"/>
      <c r="K67" s="117"/>
      <c r="N67" s="55"/>
      <c r="O67" s="55"/>
    </row>
    <row r="68" spans="1:15" x14ac:dyDescent="0.2">
      <c r="A68" s="56" t="s">
        <v>597</v>
      </c>
      <c r="B68" s="117" t="s">
        <v>580</v>
      </c>
      <c r="C68" s="117" t="s">
        <v>632</v>
      </c>
      <c r="D68" s="123"/>
      <c r="E68" s="122" t="s">
        <v>597</v>
      </c>
      <c r="F68" s="117" t="s">
        <v>580</v>
      </c>
      <c r="G68" s="117" t="s">
        <v>632</v>
      </c>
      <c r="I68" s="122"/>
      <c r="J68" s="117"/>
      <c r="K68" s="117"/>
      <c r="M68" s="56"/>
      <c r="N68" s="55"/>
      <c r="O68" s="55"/>
    </row>
    <row r="69" spans="1:15" x14ac:dyDescent="0.2">
      <c r="A69" s="26" t="s">
        <v>593</v>
      </c>
      <c r="B69" s="117">
        <f>B59*0.15</f>
        <v>18.967499999999998</v>
      </c>
      <c r="C69" s="117">
        <f>B69*1.31</f>
        <v>24.847424999999998</v>
      </c>
      <c r="D69" s="123"/>
      <c r="E69" s="123" t="s">
        <v>593</v>
      </c>
      <c r="F69" s="117">
        <f>F59*0.15</f>
        <v>2.5368749999999998</v>
      </c>
      <c r="G69" s="117">
        <f>F69*1.31</f>
        <v>3.3233062499999999</v>
      </c>
      <c r="I69" s="123"/>
      <c r="J69" s="117"/>
      <c r="K69" s="117"/>
      <c r="N69" s="77"/>
      <c r="O69" s="77"/>
    </row>
    <row r="70" spans="1:15" x14ac:dyDescent="0.2">
      <c r="A70" s="26" t="s">
        <v>594</v>
      </c>
      <c r="B70" s="117">
        <f>B59*0.34</f>
        <v>42.993000000000002</v>
      </c>
      <c r="C70" s="117">
        <f>B70*1.76</f>
        <v>75.667680000000004</v>
      </c>
      <c r="D70" s="123"/>
      <c r="E70" s="123" t="s">
        <v>594</v>
      </c>
      <c r="F70" s="117">
        <f>F59*0.34</f>
        <v>5.7502499999999994</v>
      </c>
      <c r="G70" s="117">
        <f>F70*1.76</f>
        <v>10.120439999999999</v>
      </c>
      <c r="I70" s="123"/>
      <c r="J70" s="117"/>
      <c r="K70" s="117"/>
      <c r="N70" s="77"/>
      <c r="O70" s="77"/>
    </row>
    <row r="71" spans="1:15" x14ac:dyDescent="0.2">
      <c r="A71" s="26" t="s">
        <v>595</v>
      </c>
      <c r="B71" s="117">
        <f>B59*0.11</f>
        <v>13.9095</v>
      </c>
      <c r="C71" s="117">
        <f>B71*2.51</f>
        <v>34.912844999999997</v>
      </c>
      <c r="D71" s="123"/>
      <c r="E71" s="123" t="s">
        <v>595</v>
      </c>
      <c r="F71" s="117">
        <f>F59*0.11</f>
        <v>1.8603749999999997</v>
      </c>
      <c r="G71" s="117">
        <f>F71*2.51</f>
        <v>4.6695412499999991</v>
      </c>
      <c r="I71" s="123"/>
      <c r="J71" s="117"/>
      <c r="K71" s="117"/>
      <c r="N71" s="77"/>
      <c r="O71" s="77"/>
    </row>
    <row r="72" spans="1:15" x14ac:dyDescent="0.2">
      <c r="A72" s="26" t="s">
        <v>596</v>
      </c>
      <c r="B72" s="117">
        <f>B59*0.4</f>
        <v>50.58</v>
      </c>
      <c r="C72" s="117">
        <f>B72*2.86</f>
        <v>144.65879999999999</v>
      </c>
      <c r="D72" s="123"/>
      <c r="E72" s="123" t="s">
        <v>596</v>
      </c>
      <c r="F72" s="117">
        <f>F59*0.4</f>
        <v>6.7649999999999997</v>
      </c>
      <c r="G72" s="117">
        <f>F72*2.86</f>
        <v>19.347899999999999</v>
      </c>
      <c r="I72" s="123"/>
      <c r="J72" s="117"/>
      <c r="K72" s="117"/>
      <c r="N72" s="77"/>
      <c r="O72" s="77"/>
    </row>
  </sheetData>
  <sheetProtection algorithmName="SHA-512" hashValue="LXhHVw4vkBDXvgK1veIlyR97AQ0G+l7J0cCL1vxBHmFlIqOHgVucHzAkgBIalpun5D0j/vmY8JFRONEy6VFJDA==" saltValue="3a+Pr7fZUG44eY7bBbgVLQ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EBBA1-5638-4BAE-97FF-14DB6C637CF8}">
  <dimension ref="A1:H30"/>
  <sheetViews>
    <sheetView workbookViewId="0">
      <selection activeCell="G6" sqref="G6"/>
    </sheetView>
  </sheetViews>
  <sheetFormatPr defaultRowHeight="12.75" x14ac:dyDescent="0.2"/>
  <cols>
    <col min="1" max="1" width="16.85546875" style="26" bestFit="1" customWidth="1"/>
    <col min="2" max="2" width="33.85546875" style="26" bestFit="1" customWidth="1"/>
    <col min="3" max="3" width="44.140625" style="26" bestFit="1" customWidth="1"/>
    <col min="4" max="4" width="14.7109375" style="26" customWidth="1"/>
    <col min="5" max="5" width="40.85546875" style="26" bestFit="1" customWidth="1"/>
    <col min="6" max="6" width="36" style="26" bestFit="1" customWidth="1"/>
    <col min="7" max="7" width="19.42578125" style="26" bestFit="1" customWidth="1"/>
    <col min="8" max="8" width="14" style="26" bestFit="1" customWidth="1"/>
    <col min="9" max="16384" width="9.140625" style="26"/>
  </cols>
  <sheetData>
    <row r="1" spans="1:8" x14ac:dyDescent="0.2">
      <c r="A1" s="113" t="s">
        <v>661</v>
      </c>
      <c r="B1" s="40"/>
      <c r="C1" s="40"/>
      <c r="D1" s="40"/>
      <c r="E1" s="40"/>
      <c r="F1" s="40"/>
      <c r="G1" s="40"/>
      <c r="H1" s="40"/>
    </row>
    <row r="2" spans="1:8" x14ac:dyDescent="0.2">
      <c r="A2" s="113"/>
      <c r="B2" s="40"/>
      <c r="C2" s="40"/>
      <c r="D2" s="40"/>
      <c r="E2" s="40"/>
      <c r="F2" s="40"/>
      <c r="G2" s="40"/>
      <c r="H2" s="40"/>
    </row>
    <row r="3" spans="1:8" s="115" customFormat="1" x14ac:dyDescent="0.2">
      <c r="A3" s="108" t="s">
        <v>600</v>
      </c>
      <c r="B3" s="108" t="s">
        <v>601</v>
      </c>
      <c r="C3" s="108" t="s">
        <v>602</v>
      </c>
      <c r="D3" s="108" t="s">
        <v>603</v>
      </c>
      <c r="E3" s="108" t="s">
        <v>604</v>
      </c>
      <c r="F3" s="108" t="s">
        <v>605</v>
      </c>
      <c r="G3" s="108" t="s">
        <v>636</v>
      </c>
      <c r="H3" s="114"/>
    </row>
    <row r="4" spans="1:8" x14ac:dyDescent="0.2">
      <c r="A4" s="111" t="s">
        <v>608</v>
      </c>
      <c r="B4" s="125">
        <f>'NLP Allocations'!E56</f>
        <v>618.5</v>
      </c>
      <c r="C4" s="125">
        <f>'NLP Mitigation by Timeframe'!E10</f>
        <v>1246.5867499999997</v>
      </c>
      <c r="D4" s="125">
        <f>'NLP Mitigation by Timeframe'!C10</f>
        <v>128</v>
      </c>
      <c r="E4" s="125">
        <f>D4*2.4</f>
        <v>307.2</v>
      </c>
      <c r="F4" s="111" t="s">
        <v>618</v>
      </c>
      <c r="G4" s="112">
        <f>((C4+E4)/1000)*8</f>
        <v>12.430293999999998</v>
      </c>
      <c r="H4" s="40"/>
    </row>
    <row r="5" spans="1:8" x14ac:dyDescent="0.2">
      <c r="A5" s="111" t="s">
        <v>609</v>
      </c>
      <c r="B5" s="125">
        <f>'NLP Allocations'!E57</f>
        <v>106.375</v>
      </c>
      <c r="C5" s="125">
        <f>'NLP Mitigation by Timeframe'!E19</f>
        <v>214.39881250000002</v>
      </c>
      <c r="D5" s="125">
        <f>'Windfall Rate'!D10*15</f>
        <v>0</v>
      </c>
      <c r="E5" s="125">
        <f>D5*2.86</f>
        <v>0</v>
      </c>
      <c r="F5" s="111" t="s">
        <v>619</v>
      </c>
      <c r="G5" s="112">
        <f>((C5+E5)/1000)*2</f>
        <v>0.42879762500000002</v>
      </c>
      <c r="H5" s="40"/>
    </row>
    <row r="6" spans="1:8" x14ac:dyDescent="0.2">
      <c r="A6" s="40"/>
      <c r="B6" s="126"/>
      <c r="C6" s="126"/>
      <c r="D6" s="126"/>
      <c r="E6" s="126"/>
      <c r="F6" s="40"/>
      <c r="G6" s="40"/>
      <c r="H6" s="40"/>
    </row>
    <row r="7" spans="1:8" x14ac:dyDescent="0.2">
      <c r="A7" s="38" t="s">
        <v>0</v>
      </c>
      <c r="B7" s="120">
        <f>SUM(B4:B5)</f>
        <v>724.875</v>
      </c>
      <c r="C7" s="120">
        <f t="shared" ref="C7:G7" si="0">SUM(C4:C5)</f>
        <v>1460.9855624999998</v>
      </c>
      <c r="D7" s="120">
        <f t="shared" si="0"/>
        <v>128</v>
      </c>
      <c r="E7" s="120">
        <f t="shared" si="0"/>
        <v>307.2</v>
      </c>
      <c r="F7" s="120"/>
      <c r="G7" s="109">
        <f t="shared" si="0"/>
        <v>12.859091624999998</v>
      </c>
    </row>
    <row r="8" spans="1:8" x14ac:dyDescent="0.2">
      <c r="A8" s="38"/>
    </row>
    <row r="9" spans="1:8" x14ac:dyDescent="0.2">
      <c r="B9" s="25"/>
      <c r="C9" s="38"/>
      <c r="D9" s="38"/>
      <c r="G9" s="25"/>
      <c r="H9" s="25"/>
    </row>
    <row r="10" spans="1:8" x14ac:dyDescent="0.2">
      <c r="A10" s="38"/>
      <c r="B10" s="99"/>
      <c r="C10" s="25"/>
      <c r="D10" s="94"/>
      <c r="E10" s="75"/>
      <c r="F10" s="98"/>
      <c r="G10" s="25"/>
      <c r="H10" s="94"/>
    </row>
    <row r="11" spans="1:8" x14ac:dyDescent="0.2">
      <c r="A11" s="38"/>
      <c r="B11" s="98"/>
      <c r="C11" s="55"/>
      <c r="D11" s="116"/>
      <c r="E11" s="38"/>
      <c r="F11" s="98"/>
      <c r="G11" s="116"/>
      <c r="H11" s="116"/>
    </row>
    <row r="12" spans="1:8" x14ac:dyDescent="0.2">
      <c r="A12" s="38"/>
      <c r="B12" s="98"/>
      <c r="C12" s="55"/>
      <c r="D12" s="116"/>
      <c r="E12" s="38"/>
      <c r="F12" s="98"/>
      <c r="G12" s="116"/>
      <c r="H12" s="116"/>
    </row>
    <row r="13" spans="1:8" x14ac:dyDescent="0.2">
      <c r="A13" s="38"/>
      <c r="B13" s="98"/>
      <c r="C13" s="55"/>
      <c r="D13" s="116"/>
      <c r="E13" s="38"/>
      <c r="F13" s="98"/>
      <c r="G13" s="116"/>
      <c r="H13" s="116"/>
    </row>
    <row r="14" spans="1:8" x14ac:dyDescent="0.2">
      <c r="A14" s="38"/>
      <c r="B14" s="98"/>
      <c r="C14" s="55"/>
      <c r="D14" s="116"/>
      <c r="E14" s="38"/>
      <c r="F14" s="98"/>
      <c r="G14" s="116"/>
      <c r="H14" s="116"/>
    </row>
    <row r="16" spans="1:8" x14ac:dyDescent="0.2">
      <c r="A16" s="38"/>
      <c r="B16" s="25"/>
      <c r="C16" s="25"/>
      <c r="D16" s="25"/>
      <c r="E16" s="25"/>
    </row>
    <row r="17" spans="1:5" x14ac:dyDescent="0.2">
      <c r="A17" s="38"/>
      <c r="B17" s="55"/>
      <c r="C17" s="116"/>
      <c r="D17" s="116"/>
      <c r="E17" s="116"/>
    </row>
    <row r="18" spans="1:5" x14ac:dyDescent="0.2">
      <c r="A18" s="38"/>
      <c r="B18" s="55"/>
      <c r="C18" s="116"/>
      <c r="D18" s="116"/>
      <c r="E18" s="116"/>
    </row>
    <row r="19" spans="1:5" x14ac:dyDescent="0.2">
      <c r="A19" s="38"/>
      <c r="B19" s="55"/>
      <c r="C19" s="116"/>
      <c r="D19" s="116"/>
      <c r="E19" s="116"/>
    </row>
    <row r="20" spans="1:5" x14ac:dyDescent="0.2">
      <c r="A20" s="38"/>
      <c r="B20" s="55"/>
      <c r="C20" s="116"/>
      <c r="D20" s="116"/>
      <c r="E20" s="116"/>
    </row>
    <row r="21" spans="1:5" x14ac:dyDescent="0.2">
      <c r="A21" s="38"/>
      <c r="B21" s="25"/>
      <c r="C21" s="94"/>
      <c r="D21" s="94"/>
      <c r="E21" s="94"/>
    </row>
    <row r="23" spans="1:5" x14ac:dyDescent="0.2">
      <c r="A23" s="75"/>
      <c r="B23" s="25"/>
      <c r="C23" s="25"/>
      <c r="D23" s="25"/>
      <c r="E23" s="25"/>
    </row>
    <row r="24" spans="1:5" x14ac:dyDescent="0.2">
      <c r="A24" s="38"/>
      <c r="B24" s="116"/>
      <c r="C24" s="116"/>
      <c r="D24" s="116"/>
      <c r="E24" s="116"/>
    </row>
    <row r="25" spans="1:5" x14ac:dyDescent="0.2">
      <c r="A25" s="38"/>
      <c r="B25" s="116"/>
      <c r="C25" s="116"/>
      <c r="D25" s="116"/>
      <c r="E25" s="116"/>
    </row>
    <row r="26" spans="1:5" x14ac:dyDescent="0.2">
      <c r="A26" s="38"/>
      <c r="B26" s="116"/>
      <c r="C26" s="116"/>
      <c r="D26" s="116"/>
      <c r="E26" s="116"/>
    </row>
    <row r="27" spans="1:5" x14ac:dyDescent="0.2">
      <c r="A27" s="38"/>
      <c r="B27" s="116"/>
      <c r="C27" s="116"/>
      <c r="D27" s="116"/>
      <c r="E27" s="116"/>
    </row>
    <row r="28" spans="1:5" x14ac:dyDescent="0.2">
      <c r="A28" s="38"/>
      <c r="B28" s="25"/>
      <c r="C28" s="94"/>
      <c r="D28" s="94"/>
      <c r="E28" s="94"/>
    </row>
    <row r="30" spans="1:5" x14ac:dyDescent="0.2">
      <c r="A30" s="38"/>
      <c r="B30" s="25"/>
      <c r="C30" s="94"/>
      <c r="D30" s="94"/>
      <c r="E30" s="94"/>
    </row>
  </sheetData>
  <sheetProtection algorithmName="SHA-512" hashValue="cQdUSpfdgkiOMO+o8NvEEyx0CiUEmK6ADjSDYDpZfW48uQYQcATMcQSbyoGzhvOFQwNJjrq1qfWAafG8bIEi9Q==" saltValue="AaMtY8qiv65R2oxrIwiZ+A==" spinCount="100000" sheet="1" objects="1" scenarios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578A63CE313943946DA9E06C058C64" ma:contentTypeVersion="6" ma:contentTypeDescription="Create a new document." ma:contentTypeScope="" ma:versionID="87dc9f83aa7521d8eab45d4e85b0fd9d">
  <xsd:schema xmlns:xsd="http://www.w3.org/2001/XMLSchema" xmlns:xs="http://www.w3.org/2001/XMLSchema" xmlns:p="http://schemas.microsoft.com/office/2006/metadata/properties" xmlns:ns2="bb329573-e61d-4615-889a-c929d39d0e43" xmlns:ns3="271b5c17-9254-4333-b230-264122307d37" targetNamespace="http://schemas.microsoft.com/office/2006/metadata/properties" ma:root="true" ma:fieldsID="5ac69b74d73e6a997f770523ba3c3fb9" ns2:_="" ns3:_="">
    <xsd:import namespace="bb329573-e61d-4615-889a-c929d39d0e43"/>
    <xsd:import namespace="271b5c17-9254-4333-b230-264122307d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29573-e61d-4615-889a-c929d39d0e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b5c17-9254-4333-b230-264122307d3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CA70EA-70FC-4742-9753-BAE270B63E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6FDB7D-BC34-4192-8ECE-4695BCEB478F}">
  <ds:schemaRefs>
    <ds:schemaRef ds:uri="bb329573-e61d-4615-889a-c929d39d0e4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71b5c17-9254-4333-b230-264122307d37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AA22B76-B337-4A9B-8D8C-4BD447AF02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29573-e61d-4615-889a-c929d39d0e43"/>
    <ds:schemaRef ds:uri="271b5c17-9254-4333-b230-264122307d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Crib Sheet</vt:lpstr>
      <vt:lpstr>Completed</vt:lpstr>
      <vt:lpstr>Under Construction</vt:lpstr>
      <vt:lpstr>Planning Permission</vt:lpstr>
      <vt:lpstr>Remaining Capacity</vt:lpstr>
      <vt:lpstr>NLP Allocations</vt:lpstr>
      <vt:lpstr>Windfall Rate</vt:lpstr>
      <vt:lpstr>NLP Mitigation by Timeframe</vt:lpstr>
      <vt:lpstr>NLP Land Mitigation Required</vt:lpstr>
      <vt:lpstr>Remaining Capacity - Incl NLP</vt:lpstr>
      <vt:lpstr>'Remaining Capacity - Incl NLP'!x__Hlk46304702</vt:lpstr>
      <vt:lpstr>'NLP Land Mitigation Required'!x__Hlk52364133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James</dc:creator>
  <cp:lastModifiedBy>Benjamin James</cp:lastModifiedBy>
  <dcterms:created xsi:type="dcterms:W3CDTF">2023-07-19T12:28:55Z</dcterms:created>
  <dcterms:modified xsi:type="dcterms:W3CDTF">2024-03-25T14:21:01Z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0x010100CA578A63CE313943946DA9E06C058C64</vt:lpwstr>
  </property>
</Properties>
</file>